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utista\Documents\Statistics\Statistical Data\statisticaldata\YearlyProdStats\"/>
    </mc:Choice>
  </mc:AlternateContent>
  <xr:revisionPtr revIDLastSave="0" documentId="13_ncr:1_{FBD5FC8F-8446-40A5-A744-357DCD1E9F16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Agriculture Prod 1980-90" sheetId="2" state="hidden" r:id="rId1"/>
    <sheet name="Agriculture Prod 1991-01" sheetId="1" state="hidden" r:id="rId2"/>
    <sheet name="Agriculture Prod 2008 - 2020" sheetId="3" r:id="rId3"/>
    <sheet name="Santander prod. 2017 and 2020 " sheetId="15" r:id="rId4"/>
    <sheet name="traditional crops graph " sheetId="13" state="hidden" r:id="rId5"/>
    <sheet name="grains " sheetId="17" state="hidden" r:id="rId6"/>
    <sheet name="livestock graph " sheetId="14" state="hidden" r:id="rId7"/>
    <sheet name="marine exports products " sheetId="16" state="hidden" r:id="rId8"/>
    <sheet name="orange" sheetId="5" r:id="rId9"/>
    <sheet name="bananas " sheetId="9" r:id="rId10"/>
    <sheet name="sugar " sheetId="4" r:id="rId11"/>
    <sheet name="corn " sheetId="6" r:id="rId12"/>
    <sheet name="rice " sheetId="7" r:id="rId13"/>
    <sheet name="rk beans " sheetId="8" r:id="rId14"/>
    <sheet name="poultry " sheetId="11" r:id="rId15"/>
    <sheet name="cattle " sheetId="12" r:id="rId16"/>
    <sheet name="soybeans" sheetId="18" r:id="rId17"/>
    <sheet name="black eye peas" sheetId="20" r:id="rId18"/>
    <sheet name="sorghum " sheetId="21" r:id="rId19"/>
    <sheet name="papaya" sheetId="22" r:id="rId20"/>
  </sheets>
  <externalReferences>
    <externalReference r:id="rId21"/>
  </externalReferences>
  <definedNames>
    <definedName name="_xlnm.Print_Area" localSheetId="0">'Agriculture Prod 1980-90'!$A$1:$M$32</definedName>
    <definedName name="_xlnm.Print_Area" localSheetId="1">'Agriculture Prod 1991-01'!$A$1:$M$31</definedName>
    <definedName name="_xlnm.Print_Area" localSheetId="2">'Agriculture Prod 2008 - 2020'!$A$1:$G$91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4" l="1"/>
  <c r="M3" i="4"/>
  <c r="L3" i="4"/>
  <c r="N64" i="3"/>
  <c r="M64" i="3"/>
  <c r="N61" i="3"/>
  <c r="M61" i="3"/>
  <c r="N58" i="3"/>
  <c r="M58" i="3"/>
  <c r="N50" i="3"/>
  <c r="M50" i="3"/>
  <c r="N46" i="3"/>
  <c r="M46" i="3"/>
  <c r="N42" i="3"/>
  <c r="M42" i="3"/>
  <c r="N34" i="3"/>
  <c r="M34" i="3"/>
  <c r="N31" i="3"/>
  <c r="M31" i="3"/>
  <c r="N28" i="3"/>
  <c r="M28" i="3"/>
  <c r="N25" i="3"/>
  <c r="M25" i="3"/>
  <c r="N22" i="3"/>
  <c r="M22" i="3"/>
  <c r="N12" i="3"/>
  <c r="M12" i="3"/>
  <c r="N10" i="3"/>
  <c r="M10" i="3"/>
  <c r="M7" i="3"/>
  <c r="N7" i="3"/>
  <c r="L64" i="3"/>
  <c r="L61" i="3"/>
  <c r="L58" i="3"/>
  <c r="L50" i="3"/>
  <c r="L46" i="3"/>
  <c r="L42" i="3"/>
  <c r="L34" i="3"/>
  <c r="L31" i="3"/>
  <c r="L28" i="3"/>
  <c r="L25" i="3"/>
  <c r="L22" i="3"/>
  <c r="L19" i="3"/>
  <c r="L12" i="3"/>
  <c r="L10" i="3"/>
  <c r="L7" i="3"/>
  <c r="K64" i="3"/>
  <c r="J64" i="3"/>
  <c r="I64" i="3"/>
  <c r="H64" i="3"/>
  <c r="G64" i="3"/>
  <c r="F64" i="3"/>
  <c r="K61" i="3"/>
  <c r="J61" i="3"/>
  <c r="I61" i="3"/>
  <c r="H61" i="3"/>
  <c r="G61" i="3"/>
  <c r="F61" i="3"/>
  <c r="K58" i="3"/>
  <c r="J58" i="3"/>
  <c r="I58" i="3"/>
  <c r="G58" i="3"/>
  <c r="F58" i="3"/>
  <c r="H6" i="12" l="1"/>
  <c r="H31" i="3" l="1"/>
  <c r="G31" i="3"/>
  <c r="F31" i="3"/>
  <c r="D25" i="3"/>
  <c r="K19" i="3"/>
  <c r="J19" i="3"/>
  <c r="I19" i="3"/>
  <c r="H19" i="3"/>
  <c r="K3" i="4" l="1"/>
  <c r="J3" i="4"/>
  <c r="H46" i="3"/>
  <c r="K46" i="3"/>
  <c r="J46" i="3"/>
  <c r="I46" i="3"/>
  <c r="G46" i="3"/>
  <c r="F46" i="3"/>
  <c r="K50" i="3"/>
  <c r="J50" i="3"/>
  <c r="K42" i="3"/>
  <c r="J42" i="3"/>
  <c r="K34" i="3"/>
  <c r="J34" i="3"/>
  <c r="K31" i="3"/>
  <c r="J31" i="3"/>
  <c r="K28" i="3"/>
  <c r="J28" i="3"/>
  <c r="K25" i="3"/>
  <c r="J25" i="3"/>
  <c r="K22" i="3"/>
  <c r="J22" i="3"/>
  <c r="K12" i="3" l="1"/>
  <c r="J12" i="3"/>
  <c r="I12" i="3"/>
  <c r="K10" i="3"/>
  <c r="J10" i="3"/>
  <c r="F6" i="12" l="1"/>
  <c r="E6" i="12"/>
  <c r="G6" i="12"/>
  <c r="J7" i="3" l="1"/>
  <c r="H7" i="3"/>
  <c r="I7" i="3"/>
  <c r="K7" i="3"/>
  <c r="G7" i="3"/>
  <c r="F7" i="3"/>
  <c r="E7" i="3"/>
  <c r="D7" i="3"/>
  <c r="C7" i="3"/>
  <c r="I42" i="3"/>
  <c r="H42" i="3"/>
  <c r="G42" i="3"/>
  <c r="F42" i="3"/>
  <c r="I50" i="3"/>
  <c r="H50" i="3"/>
  <c r="G50" i="3"/>
  <c r="F50" i="3"/>
  <c r="D19" i="3"/>
  <c r="C19" i="3"/>
  <c r="B19" i="3"/>
  <c r="C22" i="3"/>
  <c r="B22" i="3"/>
  <c r="E25" i="3"/>
  <c r="C25" i="3"/>
  <c r="B25" i="3"/>
  <c r="I34" i="3"/>
  <c r="I31" i="3"/>
  <c r="I28" i="3"/>
  <c r="H28" i="3"/>
  <c r="G28" i="3"/>
  <c r="F28" i="3"/>
  <c r="E28" i="3"/>
  <c r="D28" i="3"/>
  <c r="C28" i="3"/>
  <c r="B28" i="3"/>
  <c r="E31" i="3"/>
  <c r="D31" i="3"/>
  <c r="C31" i="3"/>
  <c r="B31" i="3"/>
  <c r="H34" i="3"/>
  <c r="G34" i="3"/>
  <c r="F34" i="3"/>
  <c r="E34" i="3"/>
  <c r="D34" i="3"/>
  <c r="C34" i="3"/>
  <c r="B34" i="3"/>
  <c r="H12" i="3"/>
  <c r="G12" i="3"/>
  <c r="F12" i="3"/>
  <c r="E12" i="3"/>
  <c r="D12" i="3"/>
  <c r="C12" i="3"/>
  <c r="B12" i="3"/>
  <c r="I25" i="3"/>
  <c r="H25" i="3"/>
  <c r="G25" i="3"/>
  <c r="F25" i="3"/>
  <c r="I22" i="3"/>
  <c r="H22" i="3"/>
  <c r="G22" i="3"/>
  <c r="F22" i="3"/>
  <c r="E22" i="3"/>
  <c r="D22" i="3"/>
  <c r="G19" i="3"/>
  <c r="F19" i="3"/>
  <c r="E19" i="3"/>
  <c r="I10" i="3"/>
  <c r="H10" i="3"/>
  <c r="G10" i="3"/>
  <c r="F10" i="3"/>
  <c r="E10" i="3"/>
  <c r="D10" i="3"/>
  <c r="C10" i="3"/>
  <c r="B10" i="3"/>
  <c r="E49" i="3" l="1"/>
  <c r="E50" i="3" s="1"/>
  <c r="D49" i="3"/>
  <c r="D50" i="3" s="1"/>
  <c r="C49" i="3"/>
  <c r="C50" i="3" s="1"/>
  <c r="B49" i="3"/>
  <c r="B50" i="3" s="1"/>
  <c r="E48" i="3"/>
  <c r="D48" i="3"/>
  <c r="C48" i="3"/>
  <c r="B48" i="3"/>
  <c r="E54" i="3" l="1"/>
  <c r="D54" i="3"/>
  <c r="C54" i="3"/>
  <c r="B54" i="3"/>
  <c r="E53" i="3"/>
  <c r="D53" i="3"/>
  <c r="C53" i="3"/>
  <c r="B53" i="3"/>
  <c r="E52" i="3"/>
  <c r="D52" i="3"/>
  <c r="C52" i="3"/>
  <c r="B52" i="3"/>
  <c r="E45" i="3"/>
  <c r="E46" i="3" s="1"/>
  <c r="D45" i="3"/>
  <c r="D46" i="3" s="1"/>
  <c r="C45" i="3"/>
  <c r="C46" i="3" s="1"/>
  <c r="B45" i="3"/>
  <c r="B46" i="3" s="1"/>
  <c r="E44" i="3"/>
  <c r="D44" i="3"/>
  <c r="C44" i="3"/>
  <c r="B44" i="3"/>
  <c r="E41" i="3"/>
  <c r="E42" i="3" s="1"/>
  <c r="D41" i="3"/>
  <c r="D42" i="3" s="1"/>
  <c r="C41" i="3"/>
  <c r="C42" i="3" s="1"/>
  <c r="B41" i="3"/>
  <c r="B42" i="3" s="1"/>
  <c r="E40" i="3"/>
  <c r="D40" i="3"/>
  <c r="C40" i="3"/>
  <c r="B40" i="3"/>
  <c r="I12" i="1" l="1"/>
</calcChain>
</file>

<file path=xl/sharedStrings.xml><?xml version="1.0" encoding="utf-8"?>
<sst xmlns="http://schemas.openxmlformats.org/spreadsheetml/2006/main" count="229" uniqueCount="122">
  <si>
    <t>A. CROPS</t>
  </si>
  <si>
    <t>B. LIVESTOCK</t>
  </si>
  <si>
    <t>Weight</t>
  </si>
  <si>
    <t>in Index</t>
  </si>
  <si>
    <t>TOTAL</t>
  </si>
  <si>
    <t>COMPOSITE  INDEX  OF  AGRICULTURAL  PRODUCTION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</si>
  <si>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</si>
  <si>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</si>
  <si>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</si>
  <si>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</si>
  <si>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</si>
  <si>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</si>
  <si>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</si>
  <si>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</si>
  <si>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</si>
  <si>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</si>
  <si>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</si>
  <si>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</si>
  <si>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</si>
  <si>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</si>
  <si>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</si>
  <si>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</si>
  <si>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</si>
  <si>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</si>
  <si>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</si>
  <si>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</si>
  <si>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</si>
  <si>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</si>
  <si>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2008</t>
  </si>
  <si>
    <t>2009</t>
  </si>
  <si>
    <t>2010</t>
  </si>
  <si>
    <t>2011</t>
  </si>
  <si>
    <t>2012</t>
  </si>
  <si>
    <t>Cattle:    :No. slaughtered</t>
  </si>
  <si>
    <t>Pigs       :No. slaughtered</t>
  </si>
  <si>
    <t>n.a</t>
  </si>
  <si>
    <t>Sugar Cane ("000 long tons)</t>
  </si>
  <si>
    <t>Oranges ('000 90 pounds per box)</t>
  </si>
  <si>
    <t>Grapefruit ('000 80 pounds per box)</t>
  </si>
  <si>
    <t>Corn ('000 pounds)</t>
  </si>
  <si>
    <t>Rice paddy ('000 pounds)</t>
  </si>
  <si>
    <t>Bananas ('000 40 pounds per box)</t>
  </si>
  <si>
    <t>Cocoa, dry beans (pounds)</t>
  </si>
  <si>
    <t>Milk        ('000 pounds)</t>
  </si>
  <si>
    <t>Honey     ('000 pounds)</t>
  </si>
  <si>
    <t>Eggs       ('000 dozen)</t>
  </si>
  <si>
    <t>CROPS</t>
  </si>
  <si>
    <t>LIVESTOCK</t>
  </si>
  <si>
    <t>n.a. - not available</t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</si>
  <si>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- Provisional</t>
    </r>
  </si>
  <si>
    <t xml:space="preserve">              :Dressed weight</t>
  </si>
  <si>
    <t>Poultry    :No. slaughtered</t>
  </si>
  <si>
    <t>Red Kidney Beans ('000 pounds)</t>
  </si>
  <si>
    <r>
      <rPr>
        <i/>
        <sz val="8"/>
        <rFont val="Arial"/>
        <family val="2"/>
      </rPr>
      <t>Sources</t>
    </r>
    <r>
      <rPr>
        <sz val="8"/>
        <rFont val="Arial"/>
        <family val="2"/>
      </rPr>
      <t>: MOA and SIB</t>
    </r>
  </si>
  <si>
    <t>TABLE 40: AGRICULTURAL  PRODUCTION</t>
  </si>
  <si>
    <t>TABLE 40: AGRICULTURAL PRODUCTION</t>
  </si>
  <si>
    <t>Rice Paddy ('000 pounds)</t>
  </si>
  <si>
    <t>2013</t>
  </si>
  <si>
    <t>2014</t>
  </si>
  <si>
    <t>2015</t>
  </si>
  <si>
    <t xml:space="preserve">Cattle </t>
  </si>
  <si>
    <t xml:space="preserve">Central Bank of Belize data </t>
  </si>
  <si>
    <t xml:space="preserve">source: MOA and SIB </t>
  </si>
  <si>
    <t xml:space="preserve">            Pigs  :Dressed weight ('000 pounds)</t>
  </si>
  <si>
    <t>Poultry No. slaughtered ('000 units)</t>
  </si>
  <si>
    <t>Poultry dressed weight ('000 pounds)</t>
  </si>
  <si>
    <t>Pigs  :No. slaughtered (#)</t>
  </si>
  <si>
    <t>Cattle: dressed weight ('000 pounds)</t>
  </si>
  <si>
    <t>Cattle: No. slaughtered (#)</t>
  </si>
  <si>
    <t xml:space="preserve">Santander </t>
  </si>
  <si>
    <t xml:space="preserve">* Source: Central Bank of Belize </t>
  </si>
  <si>
    <t>https://www.centralbank.org.bz/rates-statistics/general-statistics</t>
  </si>
  <si>
    <t xml:space="preserve">Central Bank of Belize </t>
  </si>
  <si>
    <t>Sorghum ('000 pounds)</t>
  </si>
  <si>
    <t>* MOA source</t>
  </si>
  <si>
    <t>A.Tradtional  CROPS</t>
  </si>
  <si>
    <t>B. Grains</t>
  </si>
  <si>
    <t>C. LIVESTOCK</t>
  </si>
  <si>
    <t xml:space="preserve">Soybeans ('000 pounds) </t>
  </si>
  <si>
    <t xml:space="preserve">Black eye peas ('000 pounds) </t>
  </si>
  <si>
    <t>sorghu</t>
  </si>
  <si>
    <t xml:space="preserve"> </t>
  </si>
  <si>
    <t>Income $BZE('000)</t>
  </si>
  <si>
    <t>Income BZE$ ('000)</t>
  </si>
  <si>
    <t xml:space="preserve">Income BZE$ ('000) </t>
  </si>
  <si>
    <t>Grapefruit Income $BZ('000)</t>
  </si>
  <si>
    <t xml:space="preserve">OrangesIncome $BZ ('000)  </t>
  </si>
  <si>
    <t xml:space="preserve">Income $BZ('000) </t>
  </si>
  <si>
    <t>Income $BZ ('000)</t>
  </si>
  <si>
    <t xml:space="preserve">price </t>
  </si>
  <si>
    <t>Sugar ('000 Long Tons)</t>
  </si>
  <si>
    <t>Sugar Income (million bz$)</t>
  </si>
  <si>
    <t>Molasses (million gals)</t>
  </si>
  <si>
    <t xml:space="preserve">Sugar Cane Income $BZ('000) </t>
  </si>
  <si>
    <t xml:space="preserve">WEST_ Sugar (tons) </t>
  </si>
  <si>
    <t xml:space="preserve">WEST- Sugar cane (tons) </t>
  </si>
  <si>
    <t>Corn ('000 lbs)</t>
  </si>
  <si>
    <t>Year</t>
  </si>
  <si>
    <t>Export Earnings From Papayas (BZ$) Millions</t>
  </si>
  <si>
    <t>Papay Export Earnings (BZ$) Mil.</t>
  </si>
  <si>
    <t>cattle (on Hoof)</t>
  </si>
  <si>
    <t>Cattle (on Hoof)</t>
  </si>
  <si>
    <t>Catttle Income $BZ ('000)</t>
  </si>
  <si>
    <t xml:space="preserve">lb per cattle </t>
  </si>
  <si>
    <t xml:space="preserve">price per lb </t>
  </si>
  <si>
    <t>2016</t>
  </si>
  <si>
    <t>2017</t>
  </si>
  <si>
    <t>WEST- Molasses M. Tons</t>
  </si>
  <si>
    <t xml:space="preserve">May Report </t>
  </si>
  <si>
    <t>2018</t>
  </si>
  <si>
    <t>C. SHRIMP</t>
  </si>
  <si>
    <t>Shrimp Association</t>
  </si>
  <si>
    <t>Shrimp ('000 pounds)</t>
  </si>
  <si>
    <t>Exports ('000 pounds)</t>
  </si>
  <si>
    <t>Value (BZE'000)</t>
  </si>
  <si>
    <t>SIB</t>
  </si>
  <si>
    <t>Central Bank</t>
  </si>
  <si>
    <t>N/A</t>
  </si>
  <si>
    <t xml:space="preserve">2018 </t>
  </si>
  <si>
    <t>Total Cane delivered (M.Tons)</t>
  </si>
  <si>
    <t>Actual Tons Sugar Produced (M.Tons)</t>
  </si>
  <si>
    <t>Cattle 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</si>
</sst>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BZ$&quot;* #,##0_);_(&quot;BZ$&quot;* \(#,##0\);_(&quot;BZ$&quot;* &quot;-&quot;_);_(@_)"/>
    <numFmt numFmtId="165" formatCode="0.0_)"/>
    <numFmt numFmtId="166" formatCode="#,##0.0000000000_);\(#,##0.0000000000\)"/>
    <numFmt numFmtId="167" formatCode="0_);\(0\)"/>
    <numFmt numFmtId="168" formatCode="_([$$-409]* #,##0.00_);_([$$-409]* \(#,##0.00\);_([$$-409]* &quot;-&quot;??_);_(@_)"/>
    <numFmt numFmtId="169" formatCode="_(* #,##0_);_(* \(#,##0\);_(* &quot;-&quot;??_);_(@_)"/>
    <numFmt numFmtId="170" formatCode="_(&quot;$&quot;* #,##0_);_(&quot;$&quot;* \(#,##0\);_(&quot;$&quot;* &quot;-&quot;??_);_(@_)"/>
    <numFmt numFmtId="171" formatCode="_([$$-409]* #,##0_);_([$$-409]* \(#,##0\);_([$$-409]* &quot;-&quot;??_);_(@_)"/>
    <numFmt numFmtId="172" formatCode="0.000"/>
    <numFmt numFmtId="173" formatCode="#,##0.000"/>
  </numFmts>
  <fonts count="3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G Times (PCL6)"/>
      <family val="1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0"/>
      <name val="Courier"/>
      <family val="3"/>
    </font>
    <font>
      <b/>
      <u/>
      <sz val="10"/>
      <name val="Courier"/>
      <family val="3"/>
    </font>
    <font>
      <b/>
      <sz val="8"/>
      <name val="Times New Roman"/>
      <family val="1"/>
    </font>
    <font>
      <sz val="10"/>
      <name val="Courier"/>
      <family val="3"/>
    </font>
    <font>
      <sz val="10"/>
      <color theme="0"/>
      <name val="Arial"/>
      <family val="2"/>
    </font>
    <font>
      <sz val="10"/>
      <color theme="0"/>
      <name val="Courier"/>
      <family val="3"/>
    </font>
    <font>
      <sz val="10"/>
      <color theme="1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ourier"/>
    </font>
    <font>
      <sz val="10"/>
      <color theme="0"/>
      <name val="Courier"/>
    </font>
    <font>
      <b/>
      <sz val="10"/>
      <name val="Courier"/>
    </font>
    <font>
      <b/>
      <sz val="12"/>
      <name val="Courier"/>
    </font>
    <font>
      <b/>
      <sz val="11"/>
      <color theme="1"/>
      <name val="Calibri"/>
      <family val="2"/>
      <scheme val="minor"/>
    </font>
    <font>
      <b/>
      <i/>
      <u/>
      <sz val="8"/>
      <name val="Arial"/>
      <family val="2"/>
    </font>
    <font>
      <b/>
      <u/>
      <sz val="8"/>
      <name val="Arial"/>
      <family val="2"/>
    </font>
    <font>
      <b/>
      <sz val="10"/>
      <color theme="1"/>
      <name val="Courier"/>
      <family val="3"/>
    </font>
    <font>
      <b/>
      <sz val="10"/>
      <color theme="1"/>
      <name val="Arial"/>
      <family val="2"/>
    </font>
    <font>
      <sz val="10"/>
      <color rgb="FFC0000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37" fontId="0" fillId="0" borderId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154">
    <xf numFmtId="37" fontId="0" fillId="0" borderId="0" xfId="0"/>
    <xf numFmtId="37" fontId="2" fillId="0" borderId="0" xfId="0" applyFont="1"/>
    <xf numFmtId="37" fontId="3" fillId="0" borderId="0" xfId="0" applyFont="1"/>
    <xf numFmtId="37" fontId="5" fillId="0" borderId="5" xfId="0" applyFont="1" applyBorder="1"/>
    <xf numFmtId="37" fontId="5" fillId="0" borderId="4" xfId="0" applyFont="1" applyBorder="1"/>
    <xf numFmtId="37" fontId="5" fillId="0" borderId="2" xfId="0" applyFont="1" applyBorder="1"/>
    <xf numFmtId="37" fontId="5" fillId="0" borderId="1" xfId="0" applyFont="1" applyBorder="1"/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166" fontId="0" fillId="0" borderId="0" xfId="0" applyNumberFormat="1"/>
    <xf numFmtId="37" fontId="6" fillId="0" borderId="6" xfId="0" applyFont="1" applyBorder="1"/>
    <xf numFmtId="37" fontId="5" fillId="0" borderId="6" xfId="0" applyFont="1" applyBorder="1"/>
    <xf numFmtId="37" fontId="5" fillId="0" borderId="0" xfId="0" applyFont="1"/>
    <xf numFmtId="37" fontId="6" fillId="0" borderId="0" xfId="0" applyFont="1"/>
    <xf numFmtId="37" fontId="5" fillId="0" borderId="0" xfId="0" applyFont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37" fontId="4" fillId="0" borderId="0" xfId="0" applyFont="1"/>
    <xf numFmtId="0" fontId="4" fillId="0" borderId="0" xfId="0" applyNumberFormat="1" applyFont="1" applyAlignment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6" fillId="0" borderId="0" xfId="0" applyFont="1" applyAlignment="1">
      <alignment horizontal="centerContinuous" vertical="center"/>
    </xf>
    <xf numFmtId="37" fontId="8" fillId="0" borderId="0" xfId="0" applyFont="1" applyAlignment="1">
      <alignment horizontal="centerContinuous" vertical="center"/>
    </xf>
    <xf numFmtId="37" fontId="4" fillId="0" borderId="0" xfId="0" applyFont="1" applyAlignment="1">
      <alignment horizontal="centerContinuous" vertical="center"/>
    </xf>
    <xf numFmtId="37" fontId="7" fillId="0" borderId="0" xfId="0" quotePrefix="1" applyFont="1" applyAlignment="1">
      <alignment horizontal="centerContinuous" vertical="center"/>
    </xf>
    <xf numFmtId="37" fontId="6" fillId="0" borderId="3" xfId="0" quotePrefix="1" applyFont="1" applyBorder="1" applyAlignment="1">
      <alignment horizontal="center" vertical="center"/>
    </xf>
    <xf numFmtId="37" fontId="6" fillId="0" borderId="2" xfId="0" quotePrefix="1" applyFont="1" applyBorder="1" applyAlignment="1">
      <alignment horizontal="center" vertical="center"/>
    </xf>
    <xf numFmtId="37" fontId="5" fillId="0" borderId="1" xfId="0" applyFont="1" applyBorder="1" applyAlignment="1">
      <alignment horizontal="center" vertical="center"/>
    </xf>
    <xf numFmtId="37" fontId="4" fillId="0" borderId="0" xfId="0" quotePrefix="1" applyFont="1" applyAlignment="1">
      <alignment horizontal="centerContinuous" vertical="center"/>
    </xf>
    <xf numFmtId="37" fontId="5" fillId="0" borderId="0" xfId="0" applyFont="1" applyAlignment="1">
      <alignment horizontal="left"/>
    </xf>
    <xf numFmtId="37" fontId="0" fillId="2" borderId="0" xfId="0" applyFill="1"/>
    <xf numFmtId="37" fontId="11" fillId="0" borderId="0" xfId="0" applyFont="1"/>
    <xf numFmtId="39" fontId="0" fillId="0" borderId="0" xfId="0" applyNumberFormat="1"/>
    <xf numFmtId="37" fontId="12" fillId="0" borderId="3" xfId="0" applyFont="1" applyBorder="1"/>
    <xf numFmtId="39" fontId="0" fillId="0" borderId="3" xfId="0" applyNumberFormat="1" applyBorder="1"/>
    <xf numFmtId="37" fontId="11" fillId="0" borderId="3" xfId="0" applyFont="1" applyBorder="1"/>
    <xf numFmtId="37" fontId="0" fillId="3" borderId="0" xfId="0" applyFill="1"/>
    <xf numFmtId="37" fontId="6" fillId="0" borderId="0" xfId="0" applyFont="1" applyAlignment="1">
      <alignment horizontal="left"/>
    </xf>
    <xf numFmtId="168" fontId="5" fillId="0" borderId="0" xfId="0" applyNumberFormat="1" applyFont="1"/>
    <xf numFmtId="168" fontId="0" fillId="0" borderId="0" xfId="0" applyNumberFormat="1"/>
    <xf numFmtId="37" fontId="15" fillId="0" borderId="0" xfId="0" applyFont="1"/>
    <xf numFmtId="37" fontId="16" fillId="0" borderId="0" xfId="0" applyFont="1"/>
    <xf numFmtId="164" fontId="5" fillId="0" borderId="0" xfId="0" applyNumberFormat="1" applyFont="1" applyAlignment="1">
      <alignment horizontal="left"/>
    </xf>
    <xf numFmtId="164" fontId="0" fillId="0" borderId="0" xfId="0" applyNumberFormat="1"/>
    <xf numFmtId="164" fontId="0" fillId="3" borderId="0" xfId="0" applyNumberFormat="1" applyFill="1"/>
    <xf numFmtId="0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3" borderId="0" xfId="0" applyNumberFormat="1" applyFill="1"/>
    <xf numFmtId="37" fontId="4" fillId="0" borderId="0" xfId="0" applyFont="1" applyAlignment="1">
      <alignment horizontal="right" vertical="center"/>
    </xf>
    <xf numFmtId="167" fontId="0" fillId="2" borderId="0" xfId="0" applyNumberFormat="1" applyFill="1" applyAlignment="1">
      <alignment horizontal="right"/>
    </xf>
    <xf numFmtId="37" fontId="0" fillId="0" borderId="0" xfId="0" applyAlignment="1">
      <alignment horizontal="right"/>
    </xf>
    <xf numFmtId="37" fontId="6" fillId="0" borderId="3" xfId="0" quotePrefix="1" applyFont="1" applyBorder="1" applyAlignment="1">
      <alignment horizontal="right" vertical="center"/>
    </xf>
    <xf numFmtId="37" fontId="5" fillId="0" borderId="6" xfId="0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1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37" fontId="15" fillId="0" borderId="0" xfId="0" applyFont="1" applyAlignment="1">
      <alignment horizontal="right"/>
    </xf>
    <xf numFmtId="167" fontId="16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NumberFormat="1"/>
    <xf numFmtId="0" fontId="11" fillId="0" borderId="0" xfId="0" applyNumberFormat="1" applyFont="1"/>
    <xf numFmtId="1" fontId="11" fillId="0" borderId="0" xfId="0" applyNumberFormat="1" applyFont="1"/>
    <xf numFmtId="3" fontId="5" fillId="0" borderId="0" xfId="0" applyNumberFormat="1" applyFont="1" applyAlignment="1">
      <alignment horizontal="left"/>
    </xf>
    <xf numFmtId="3" fontId="5" fillId="0" borderId="0" xfId="0" applyNumberFormat="1" applyFont="1"/>
    <xf numFmtId="3" fontId="0" fillId="0" borderId="0" xfId="0" applyNumberFormat="1"/>
    <xf numFmtId="1" fontId="17" fillId="0" borderId="7" xfId="1" applyNumberFormat="1" applyFont="1" applyBorder="1" applyAlignment="1">
      <alignment vertical="center" wrapText="1"/>
    </xf>
    <xf numFmtId="37" fontId="19" fillId="0" borderId="0" xfId="0" applyFont="1" applyAlignment="1">
      <alignment horizontal="center" wrapText="1"/>
    </xf>
    <xf numFmtId="37" fontId="20" fillId="0" borderId="0" xfId="0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/>
    </xf>
    <xf numFmtId="37" fontId="18" fillId="0" borderId="0" xfId="0" applyFont="1" applyAlignment="1">
      <alignment vertical="center"/>
    </xf>
    <xf numFmtId="0" fontId="19" fillId="0" borderId="0" xfId="0" applyNumberFormat="1" applyFont="1" applyAlignment="1">
      <alignment vertical="center"/>
    </xf>
    <xf numFmtId="37" fontId="19" fillId="0" borderId="0" xfId="0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37" fontId="20" fillId="0" borderId="0" xfId="0" applyFont="1" applyAlignment="1">
      <alignment vertical="center"/>
    </xf>
    <xf numFmtId="167" fontId="0" fillId="4" borderId="0" xfId="0" applyNumberFormat="1" applyFill="1" applyAlignment="1">
      <alignment horizontal="right"/>
    </xf>
    <xf numFmtId="167" fontId="11" fillId="4" borderId="0" xfId="0" applyNumberFormat="1" applyFont="1" applyFill="1" applyAlignment="1">
      <alignment horizontal="right"/>
    </xf>
    <xf numFmtId="37" fontId="0" fillId="4" borderId="0" xfId="0" applyFill="1"/>
    <xf numFmtId="1" fontId="0" fillId="4" borderId="0" xfId="0" applyNumberFormat="1" applyFill="1"/>
    <xf numFmtId="167" fontId="11" fillId="4" borderId="0" xfId="0" applyNumberFormat="1" applyFont="1" applyFill="1"/>
    <xf numFmtId="1" fontId="11" fillId="4" borderId="0" xfId="0" applyNumberFormat="1" applyFont="1" applyFill="1"/>
    <xf numFmtId="37" fontId="5" fillId="4" borderId="0" xfId="0" applyFont="1" applyFill="1" applyAlignment="1">
      <alignment horizontal="right"/>
    </xf>
    <xf numFmtId="169" fontId="0" fillId="4" borderId="0" xfId="1" applyNumberFormat="1" applyFont="1" applyFill="1" applyAlignment="1">
      <alignment horizontal="right"/>
    </xf>
    <xf numFmtId="169" fontId="5" fillId="0" borderId="0" xfId="1" applyNumberFormat="1" applyFont="1" applyAlignment="1">
      <alignment horizontal="right"/>
    </xf>
    <xf numFmtId="170" fontId="0" fillId="0" borderId="0" xfId="2" applyNumberFormat="1" applyFont="1" applyAlignment="1">
      <alignment horizontal="right"/>
    </xf>
    <xf numFmtId="170" fontId="0" fillId="4" borderId="0" xfId="2" applyNumberFormat="1" applyFont="1" applyFill="1" applyAlignment="1">
      <alignment horizontal="right"/>
    </xf>
    <xf numFmtId="170" fontId="0" fillId="0" borderId="0" xfId="2" applyNumberFormat="1" applyFont="1" applyAlignment="1">
      <alignment horizontal="center"/>
    </xf>
    <xf numFmtId="37" fontId="5" fillId="4" borderId="0" xfId="0" applyFont="1" applyFill="1" applyAlignment="1">
      <alignment horizontal="left"/>
    </xf>
    <xf numFmtId="37" fontId="5" fillId="4" borderId="0" xfId="0" applyFont="1" applyFill="1"/>
    <xf numFmtId="1" fontId="5" fillId="4" borderId="0" xfId="0" applyNumberFormat="1" applyFont="1" applyFill="1" applyAlignment="1">
      <alignment horizontal="left"/>
    </xf>
    <xf numFmtId="37" fontId="0" fillId="4" borderId="0" xfId="0" applyFill="1" applyAlignment="1">
      <alignment horizontal="right"/>
    </xf>
    <xf numFmtId="37" fontId="11" fillId="4" borderId="0" xfId="0" applyFont="1" applyFill="1"/>
    <xf numFmtId="164" fontId="5" fillId="4" borderId="0" xfId="0" applyNumberFormat="1" applyFont="1" applyFill="1" applyAlignment="1">
      <alignment horizontal="left"/>
    </xf>
    <xf numFmtId="164" fontId="5" fillId="4" borderId="0" xfId="0" applyNumberFormat="1" applyFont="1" applyFill="1"/>
    <xf numFmtId="164" fontId="0" fillId="4" borderId="0" xfId="0" applyNumberFormat="1" applyFill="1"/>
    <xf numFmtId="0" fontId="2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2" fillId="4" borderId="0" xfId="0" applyNumberFormat="1" applyFont="1" applyFill="1" applyAlignment="1">
      <alignment horizontal="right"/>
    </xf>
    <xf numFmtId="0" fontId="8" fillId="4" borderId="0" xfId="0" applyNumberFormat="1" applyFont="1" applyFill="1" applyAlignment="1">
      <alignment horizontal="right"/>
    </xf>
    <xf numFmtId="37" fontId="6" fillId="4" borderId="0" xfId="0" applyFont="1" applyFill="1"/>
    <xf numFmtId="169" fontId="5" fillId="4" borderId="0" xfId="1" applyNumberFormat="1" applyFont="1" applyFill="1" applyAlignment="1">
      <alignment horizontal="right"/>
    </xf>
    <xf numFmtId="169" fontId="11" fillId="4" borderId="0" xfId="1" applyNumberFormat="1" applyFont="1" applyFill="1" applyAlignment="1">
      <alignment horizontal="right"/>
    </xf>
    <xf numFmtId="170" fontId="11" fillId="4" borderId="0" xfId="2" applyNumberFormat="1" applyFont="1" applyFill="1" applyAlignment="1">
      <alignment horizontal="right"/>
    </xf>
    <xf numFmtId="169" fontId="2" fillId="0" borderId="0" xfId="1" applyNumberFormat="1" applyFont="1" applyAlignment="1">
      <alignment horizontal="right"/>
    </xf>
    <xf numFmtId="169" fontId="8" fillId="0" borderId="0" xfId="1" applyNumberFormat="1" applyFont="1" applyAlignment="1">
      <alignment horizontal="right"/>
    </xf>
    <xf numFmtId="169" fontId="13" fillId="0" borderId="0" xfId="1" applyNumberFormat="1" applyFont="1" applyAlignment="1">
      <alignment horizontal="right"/>
    </xf>
    <xf numFmtId="169" fontId="2" fillId="4" borderId="0" xfId="1" applyNumberFormat="1" applyFont="1" applyFill="1" applyAlignment="1">
      <alignment horizontal="right"/>
    </xf>
    <xf numFmtId="169" fontId="8" fillId="4" borderId="0" xfId="1" applyNumberFormat="1" applyFont="1" applyFill="1" applyAlignment="1">
      <alignment horizontal="right"/>
    </xf>
    <xf numFmtId="170" fontId="0" fillId="4" borderId="0" xfId="2" applyNumberFormat="1" applyFont="1" applyFill="1" applyAlignment="1">
      <alignment horizontal="center"/>
    </xf>
    <xf numFmtId="167" fontId="22" fillId="4" borderId="0" xfId="0" applyNumberFormat="1" applyFont="1" applyFill="1" applyAlignment="1">
      <alignment horizontal="right"/>
    </xf>
    <xf numFmtId="169" fontId="17" fillId="0" borderId="0" xfId="1" applyNumberFormat="1" applyFont="1" applyAlignment="1">
      <alignment vertical="center" wrapText="1"/>
    </xf>
    <xf numFmtId="169" fontId="0" fillId="0" borderId="0" xfId="1" applyNumberFormat="1" applyFont="1" applyAlignment="1">
      <alignment horizontal="center"/>
    </xf>
    <xf numFmtId="169" fontId="0" fillId="0" borderId="0" xfId="1" applyNumberFormat="1" applyFont="1"/>
    <xf numFmtId="3" fontId="0" fillId="4" borderId="0" xfId="0" applyNumberFormat="1" applyFill="1" applyAlignment="1">
      <alignment horizontal="right"/>
    </xf>
    <xf numFmtId="39" fontId="5" fillId="0" borderId="0" xfId="0" applyNumberFormat="1" applyFont="1" applyAlignment="1">
      <alignment horizontal="right"/>
    </xf>
    <xf numFmtId="171" fontId="0" fillId="0" borderId="0" xfId="0" applyNumberFormat="1" applyAlignment="1">
      <alignment horizontal="center"/>
    </xf>
    <xf numFmtId="171" fontId="5" fillId="0" borderId="0" xfId="0" applyNumberFormat="1" applyFont="1" applyAlignment="1">
      <alignment horizontal="right"/>
    </xf>
    <xf numFmtId="171" fontId="5" fillId="4" borderId="0" xfId="0" applyNumberFormat="1" applyFont="1" applyFill="1" applyAlignment="1">
      <alignment horizontal="right"/>
    </xf>
    <xf numFmtId="169" fontId="23" fillId="4" borderId="0" xfId="1" applyNumberFormat="1" applyFont="1" applyFill="1" applyAlignment="1">
      <alignment horizontal="right"/>
    </xf>
    <xf numFmtId="169" fontId="11" fillId="4" borderId="0" xfId="1" applyNumberFormat="1" applyFont="1" applyFill="1"/>
    <xf numFmtId="169" fontId="0" fillId="4" borderId="0" xfId="1" applyNumberFormat="1" applyFont="1" applyFill="1"/>
    <xf numFmtId="0" fontId="24" fillId="0" borderId="3" xfId="0" applyNumberFormat="1" applyFont="1" applyBorder="1" applyAlignment="1">
      <alignment horizontal="center"/>
    </xf>
    <xf numFmtId="37" fontId="0" fillId="0" borderId="3" xfId="0" applyBorder="1"/>
    <xf numFmtId="170" fontId="0" fillId="0" borderId="0" xfId="2" applyNumberFormat="1" applyFont="1"/>
    <xf numFmtId="170" fontId="11" fillId="4" borderId="0" xfId="2" applyNumberFormat="1" applyFont="1" applyFill="1"/>
    <xf numFmtId="170" fontId="5" fillId="0" borderId="0" xfId="2" applyNumberFormat="1" applyFont="1" applyAlignment="1">
      <alignment horizontal="right"/>
    </xf>
    <xf numFmtId="172" fontId="0" fillId="0" borderId="0" xfId="0" applyNumberFormat="1" applyAlignment="1">
      <alignment horizontal="center"/>
    </xf>
    <xf numFmtId="167" fontId="23" fillId="4" borderId="3" xfId="0" applyNumberFormat="1" applyFont="1" applyFill="1" applyBorder="1" applyAlignment="1">
      <alignment horizontal="right"/>
    </xf>
    <xf numFmtId="169" fontId="17" fillId="0" borderId="0" xfId="1" applyNumberFormat="1" applyFont="1" applyAlignment="1">
      <alignment horizontal="center" vertical="center" wrapText="1"/>
    </xf>
    <xf numFmtId="37" fontId="3" fillId="0" borderId="3" xfId="0" applyFont="1" applyBorder="1"/>
    <xf numFmtId="37" fontId="26" fillId="0" borderId="0" xfId="0" applyFont="1"/>
    <xf numFmtId="37" fontId="8" fillId="0" borderId="0" xfId="0" applyFont="1"/>
    <xf numFmtId="37" fontId="27" fillId="0" borderId="0" xfId="0" applyFont="1"/>
    <xf numFmtId="37" fontId="6" fillId="0" borderId="0" xfId="0" applyFont="1" applyAlignment="1">
      <alignment horizontal="right"/>
    </xf>
    <xf numFmtId="169" fontId="28" fillId="4" borderId="0" xfId="1" applyNumberFormat="1" applyFont="1" applyFill="1" applyAlignment="1">
      <alignment horizontal="right"/>
    </xf>
    <xf numFmtId="170" fontId="6" fillId="0" borderId="0" xfId="2" applyNumberFormat="1" applyFont="1" applyAlignment="1">
      <alignment horizontal="right"/>
    </xf>
    <xf numFmtId="170" fontId="29" fillId="0" borderId="0" xfId="2" applyNumberFormat="1" applyFont="1" applyAlignment="1">
      <alignment horizontal="right"/>
    </xf>
    <xf numFmtId="167" fontId="28" fillId="4" borderId="0" xfId="0" applyNumberFormat="1" applyFont="1" applyFill="1" applyAlignment="1">
      <alignment horizontal="right"/>
    </xf>
    <xf numFmtId="170" fontId="3" fillId="0" borderId="0" xfId="2" applyNumberFormat="1" applyFont="1" applyAlignment="1">
      <alignment horizontal="right"/>
    </xf>
    <xf numFmtId="170" fontId="28" fillId="0" borderId="0" xfId="2" applyNumberFormat="1" applyFont="1" applyAlignment="1">
      <alignment horizontal="right"/>
    </xf>
    <xf numFmtId="37" fontId="3" fillId="0" borderId="0" xfId="0" applyFont="1" applyAlignment="1">
      <alignment horizontal="right"/>
    </xf>
    <xf numFmtId="170" fontId="28" fillId="4" borderId="0" xfId="2" applyNumberFormat="1" applyFont="1" applyFill="1" applyAlignment="1">
      <alignment horizontal="right"/>
    </xf>
    <xf numFmtId="167" fontId="30" fillId="4" borderId="0" xfId="0" applyNumberFormat="1" applyFont="1" applyFill="1" applyAlignment="1">
      <alignment horizontal="right"/>
    </xf>
    <xf numFmtId="173" fontId="0" fillId="0" borderId="0" xfId="0" applyNumberFormat="1"/>
    <xf numFmtId="170" fontId="25" fillId="0" borderId="0" xfId="2" applyNumberFormat="1" applyFont="1"/>
    <xf numFmtId="170" fontId="1" fillId="0" borderId="0" xfId="2" applyNumberFormat="1" applyFont="1"/>
    <xf numFmtId="0" fontId="6" fillId="0" borderId="3" xfId="0" quotePrefix="1" applyNumberFormat="1" applyFont="1" applyBorder="1" applyAlignment="1">
      <alignment horizontal="right" vertical="center"/>
    </xf>
    <xf numFmtId="170" fontId="5" fillId="0" borderId="0" xfId="2" applyNumberFormat="1" applyFont="1"/>
    <xf numFmtId="44" fontId="0" fillId="0" borderId="0" xfId="2" applyFont="1" applyAlignment="1">
      <alignment horizontal="center"/>
    </xf>
    <xf numFmtId="44" fontId="17" fillId="0" borderId="0" xfId="2" applyFont="1" applyAlignment="1">
      <alignment vertical="center" wrapText="1"/>
    </xf>
    <xf numFmtId="169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Production of Main Crops 2006-2015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9"/>
          <c:order val="0"/>
          <c:tx>
            <c:strRef>
              <c:f>'Agriculture Prod 2008 - 2018'!#REF!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'Agriculture Prod 2008 - 2018'!#REF!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F-41F5-A05D-FAD285C854DD}"/>
            </c:ext>
          </c:extLst>
        </c:ser>
        <c:ser>
          <c:idx val="0"/>
          <c:order val="1"/>
          <c:tx>
            <c:strRef>
              <c:f>'Agriculture Prod 2008 - 2018'!#REF!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'Agriculture Prod 2008 - 2020'!$A$6:$A$35</c:f>
              <c:strCache>
                <c:ptCount val="29"/>
                <c:pt idx="0">
                  <c:v>Sugar Cane ("000 long tons)</c:v>
                </c:pt>
                <c:pt idx="1">
                  <c:v> Income $BZ('000)  </c:v>
                </c:pt>
                <c:pt idx="2">
                  <c:v>price </c:v>
                </c:pt>
                <c:pt idx="3">
                  <c:v>Oranges ('000 90 pounds per box)</c:v>
                </c:pt>
                <c:pt idx="4">
                  <c:v>OrangesIncome $BZ ('000)  </c:v>
                </c:pt>
                <c:pt idx="5">
                  <c:v>Grapefruit ('000 80 pounds per box)</c:v>
                </c:pt>
                <c:pt idx="6">
                  <c:v>Grapefruit Income $BZ('000)</c:v>
                </c:pt>
                <c:pt idx="8">
                  <c:v>Bananas ('000 40 pounds per box)</c:v>
                </c:pt>
                <c:pt idx="9">
                  <c:v>Income $BZE('000)</c:v>
                </c:pt>
                <c:pt idx="11">
                  <c:v>B. Grains</c:v>
                </c:pt>
                <c:pt idx="12">
                  <c:v>Corn ('000 lbs)</c:v>
                </c:pt>
                <c:pt idx="13">
                  <c:v>Income BZE$ ('000)</c:v>
                </c:pt>
                <c:pt idx="15">
                  <c:v>Rice paddy ('000 pounds)</c:v>
                </c:pt>
                <c:pt idx="16">
                  <c:v> Income BZE$ ('000)  </c:v>
                </c:pt>
                <c:pt idx="18">
                  <c:v>Soybeans ('000 pounds) </c:v>
                </c:pt>
                <c:pt idx="19">
                  <c:v>Income BZE$ ('000)</c:v>
                </c:pt>
                <c:pt idx="21">
                  <c:v>Black eye peas ('000 pounds) </c:v>
                </c:pt>
                <c:pt idx="22">
                  <c:v>Income BZE$ ('000)</c:v>
                </c:pt>
                <c:pt idx="24">
                  <c:v>Red Kidney Beans ('000 pounds)</c:v>
                </c:pt>
                <c:pt idx="25">
                  <c:v> Income BZE$ ('000) </c:v>
                </c:pt>
                <c:pt idx="27">
                  <c:v>Sorghum ('000 pounds)</c:v>
                </c:pt>
                <c:pt idx="28">
                  <c:v>Income BZE$ ('000)</c:v>
                </c:pt>
              </c:strCache>
            </c:strRef>
          </c:cat>
          <c:val>
            <c:numRef>
              <c:f>'Agriculture Prod 2008 - 2018'!#REF!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F-41F5-A05D-FAD285C854DD}"/>
            </c:ext>
          </c:extLst>
        </c:ser>
        <c:ser>
          <c:idx val="1"/>
          <c:order val="2"/>
          <c:tx>
            <c:strRef>
              <c:f>'Agriculture Prod 2008 - 2020'!$B$4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'Agriculture Prod 2008 - 2020'!$A$6:$A$35</c:f>
              <c:strCache>
                <c:ptCount val="29"/>
                <c:pt idx="0">
                  <c:v>Sugar Cane ("000 long tons)</c:v>
                </c:pt>
                <c:pt idx="1">
                  <c:v> Income $BZ('000)  </c:v>
                </c:pt>
                <c:pt idx="2">
                  <c:v>price </c:v>
                </c:pt>
                <c:pt idx="3">
                  <c:v>Oranges ('000 90 pounds per box)</c:v>
                </c:pt>
                <c:pt idx="4">
                  <c:v>OrangesIncome $BZ ('000)  </c:v>
                </c:pt>
                <c:pt idx="5">
                  <c:v>Grapefruit ('000 80 pounds per box)</c:v>
                </c:pt>
                <c:pt idx="6">
                  <c:v>Grapefruit Income $BZ('000)</c:v>
                </c:pt>
                <c:pt idx="8">
                  <c:v>Bananas ('000 40 pounds per box)</c:v>
                </c:pt>
                <c:pt idx="9">
                  <c:v>Income $BZE('000)</c:v>
                </c:pt>
                <c:pt idx="11">
                  <c:v>B. Grains</c:v>
                </c:pt>
                <c:pt idx="12">
                  <c:v>Corn ('000 lbs)</c:v>
                </c:pt>
                <c:pt idx="13">
                  <c:v>Income BZE$ ('000)</c:v>
                </c:pt>
                <c:pt idx="15">
                  <c:v>Rice paddy ('000 pounds)</c:v>
                </c:pt>
                <c:pt idx="16">
                  <c:v> Income BZE$ ('000)  </c:v>
                </c:pt>
                <c:pt idx="18">
                  <c:v>Soybeans ('000 pounds) </c:v>
                </c:pt>
                <c:pt idx="19">
                  <c:v>Income BZE$ ('000)</c:v>
                </c:pt>
                <c:pt idx="21">
                  <c:v>Black eye peas ('000 pounds) </c:v>
                </c:pt>
                <c:pt idx="22">
                  <c:v>Income BZE$ ('000)</c:v>
                </c:pt>
                <c:pt idx="24">
                  <c:v>Red Kidney Beans ('000 pounds)</c:v>
                </c:pt>
                <c:pt idx="25">
                  <c:v> Income BZE$ ('000) </c:v>
                </c:pt>
                <c:pt idx="27">
                  <c:v>Sorghum ('000 pounds)</c:v>
                </c:pt>
                <c:pt idx="28">
                  <c:v>Income BZE$ ('000)</c:v>
                </c:pt>
              </c:strCache>
            </c:strRef>
          </c:cat>
          <c:val>
            <c:numRef>
              <c:f>'Agriculture Prod 2008 - 2020'!$B$6:$B$14</c:f>
              <c:numCache>
                <c:formatCode>_("BZ$"* #,##0_);_("BZ$"* \(#,##0\);_("BZ$"* "-"_);_(@_)</c:formatCode>
                <c:ptCount val="9"/>
                <c:pt idx="0" formatCode="#,##0_);\(#,##0\)">
                  <c:v>980</c:v>
                </c:pt>
                <c:pt idx="1">
                  <c:v>54102.302179999999</c:v>
                </c:pt>
                <c:pt idx="2" formatCode="General">
                  <c:v>55.2</c:v>
                </c:pt>
                <c:pt idx="3" formatCode="_(* #,##0_);_(* \(#,##0\);_(* &quot;-&quot;??_);_(@_)">
                  <c:v>5661.2950000000001</c:v>
                </c:pt>
                <c:pt idx="4" formatCode="_(&quot;$&quot;* #,##0_);_(&quot;$&quot;* \(#,##0\);_(&quot;$&quot;* &quot;-&quot;??_);_(@_)">
                  <c:v>48007.781600000002</c:v>
                </c:pt>
                <c:pt idx="5" formatCode="_(* #,##0_);_(* \(#,##0\);_(* &quot;-&quot;??_);_(@_)">
                  <c:v>1441</c:v>
                </c:pt>
                <c:pt idx="6" formatCode="_(&quot;$&quot;* #,##0_);_(&quot;$&quot;* \(#,##0\);_(&quot;$&quot;* &quot;-&quot;??_);_(@_)">
                  <c:v>5158.78</c:v>
                </c:pt>
                <c:pt idx="8" formatCode="#,##0_);\(#,##0\)">
                  <c:v>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EF-41F5-A05D-FAD285C854DD}"/>
            </c:ext>
          </c:extLst>
        </c:ser>
        <c:ser>
          <c:idx val="2"/>
          <c:order val="3"/>
          <c:tx>
            <c:strRef>
              <c:f>'Agriculture Prod 2008 - 2020'!$C$4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'Agriculture Prod 2008 - 2020'!$A$6:$A$35</c:f>
              <c:strCache>
                <c:ptCount val="29"/>
                <c:pt idx="0">
                  <c:v>Sugar Cane ("000 long tons)</c:v>
                </c:pt>
                <c:pt idx="1">
                  <c:v> Income $BZ('000)  </c:v>
                </c:pt>
                <c:pt idx="2">
                  <c:v>price </c:v>
                </c:pt>
                <c:pt idx="3">
                  <c:v>Oranges ('000 90 pounds per box)</c:v>
                </c:pt>
                <c:pt idx="4">
                  <c:v>OrangesIncome $BZ ('000)  </c:v>
                </c:pt>
                <c:pt idx="5">
                  <c:v>Grapefruit ('000 80 pounds per box)</c:v>
                </c:pt>
                <c:pt idx="6">
                  <c:v>Grapefruit Income $BZ('000)</c:v>
                </c:pt>
                <c:pt idx="8">
                  <c:v>Bananas ('000 40 pounds per box)</c:v>
                </c:pt>
                <c:pt idx="9">
                  <c:v>Income $BZE('000)</c:v>
                </c:pt>
                <c:pt idx="11">
                  <c:v>B. Grains</c:v>
                </c:pt>
                <c:pt idx="12">
                  <c:v>Corn ('000 lbs)</c:v>
                </c:pt>
                <c:pt idx="13">
                  <c:v>Income BZE$ ('000)</c:v>
                </c:pt>
                <c:pt idx="15">
                  <c:v>Rice paddy ('000 pounds)</c:v>
                </c:pt>
                <c:pt idx="16">
                  <c:v> Income BZE$ ('000)  </c:v>
                </c:pt>
                <c:pt idx="18">
                  <c:v>Soybeans ('000 pounds) </c:v>
                </c:pt>
                <c:pt idx="19">
                  <c:v>Income BZE$ ('000)</c:v>
                </c:pt>
                <c:pt idx="21">
                  <c:v>Black eye peas ('000 pounds) </c:v>
                </c:pt>
                <c:pt idx="22">
                  <c:v>Income BZE$ ('000)</c:v>
                </c:pt>
                <c:pt idx="24">
                  <c:v>Red Kidney Beans ('000 pounds)</c:v>
                </c:pt>
                <c:pt idx="25">
                  <c:v> Income BZE$ ('000) </c:v>
                </c:pt>
                <c:pt idx="27">
                  <c:v>Sorghum ('000 pounds)</c:v>
                </c:pt>
                <c:pt idx="28">
                  <c:v>Income BZE$ ('000)</c:v>
                </c:pt>
              </c:strCache>
            </c:strRef>
          </c:cat>
          <c:val>
            <c:numRef>
              <c:f>'Agriculture Prod 2008 - 2020'!$C$6:$C$14</c:f>
              <c:numCache>
                <c:formatCode>_("BZ$"* #,##0_);_("BZ$"* \(#,##0\);_("BZ$"* "-"_);_(@_)</c:formatCode>
                <c:ptCount val="9"/>
                <c:pt idx="0" formatCode="#,##0_);\(#,##0\)">
                  <c:v>917.72799999999995</c:v>
                </c:pt>
                <c:pt idx="1">
                  <c:v>61616.257919999996</c:v>
                </c:pt>
                <c:pt idx="2" formatCode="General">
                  <c:v>67.14</c:v>
                </c:pt>
                <c:pt idx="3" formatCode="_(* #,##0_);_(* \(#,##0\);_(* &quot;-&quot;??_);_(@_)">
                  <c:v>5519.62</c:v>
                </c:pt>
                <c:pt idx="4" formatCode="_(&quot;$&quot;* #,##0_);_(&quot;$&quot;* \(#,##0\);_(&quot;$&quot;* &quot;-&quot;??_);_(@_)">
                  <c:v>49676.58</c:v>
                </c:pt>
                <c:pt idx="5" formatCode="_(* #,##0_);_(* \(#,##0\);_(* &quot;-&quot;??_);_(@_)">
                  <c:v>1124</c:v>
                </c:pt>
                <c:pt idx="6" formatCode="_(&quot;$&quot;* #,##0_);_(&quot;$&quot;* \(#,##0\);_(&quot;$&quot;* &quot;-&quot;??_);_(@_)">
                  <c:v>5395.2</c:v>
                </c:pt>
                <c:pt idx="8" formatCode="#,##0_);\(#,##0\)">
                  <c:v>3752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EF-41F5-A05D-FAD285C854DD}"/>
            </c:ext>
          </c:extLst>
        </c:ser>
        <c:ser>
          <c:idx val="3"/>
          <c:order val="4"/>
          <c:tx>
            <c:strRef>
              <c:f>'Agriculture Prod 2008 - 2020'!$D$4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'Agriculture Prod 2008 - 2020'!$A$6:$A$35</c:f>
              <c:strCache>
                <c:ptCount val="29"/>
                <c:pt idx="0">
                  <c:v>Sugar Cane ("000 long tons)</c:v>
                </c:pt>
                <c:pt idx="1">
                  <c:v> Income $BZ('000)  </c:v>
                </c:pt>
                <c:pt idx="2">
                  <c:v>price </c:v>
                </c:pt>
                <c:pt idx="3">
                  <c:v>Oranges ('000 90 pounds per box)</c:v>
                </c:pt>
                <c:pt idx="4">
                  <c:v>OrangesIncome $BZ ('000)  </c:v>
                </c:pt>
                <c:pt idx="5">
                  <c:v>Grapefruit ('000 80 pounds per box)</c:v>
                </c:pt>
                <c:pt idx="6">
                  <c:v>Grapefruit Income $BZ('000)</c:v>
                </c:pt>
                <c:pt idx="8">
                  <c:v>Bananas ('000 40 pounds per box)</c:v>
                </c:pt>
                <c:pt idx="9">
                  <c:v>Income $BZE('000)</c:v>
                </c:pt>
                <c:pt idx="11">
                  <c:v>B. Grains</c:v>
                </c:pt>
                <c:pt idx="12">
                  <c:v>Corn ('000 lbs)</c:v>
                </c:pt>
                <c:pt idx="13">
                  <c:v>Income BZE$ ('000)</c:v>
                </c:pt>
                <c:pt idx="15">
                  <c:v>Rice paddy ('000 pounds)</c:v>
                </c:pt>
                <c:pt idx="16">
                  <c:v> Income BZE$ ('000)  </c:v>
                </c:pt>
                <c:pt idx="18">
                  <c:v>Soybeans ('000 pounds) </c:v>
                </c:pt>
                <c:pt idx="19">
                  <c:v>Income BZE$ ('000)</c:v>
                </c:pt>
                <c:pt idx="21">
                  <c:v>Black eye peas ('000 pounds) </c:v>
                </c:pt>
                <c:pt idx="22">
                  <c:v>Income BZE$ ('000)</c:v>
                </c:pt>
                <c:pt idx="24">
                  <c:v>Red Kidney Beans ('000 pounds)</c:v>
                </c:pt>
                <c:pt idx="25">
                  <c:v> Income BZE$ ('000) </c:v>
                </c:pt>
                <c:pt idx="27">
                  <c:v>Sorghum ('000 pounds)</c:v>
                </c:pt>
                <c:pt idx="28">
                  <c:v>Income BZE$ ('000)</c:v>
                </c:pt>
              </c:strCache>
            </c:strRef>
          </c:cat>
          <c:val>
            <c:numRef>
              <c:f>'Agriculture Prod 2008 - 2020'!$D$6:$D$14</c:f>
              <c:numCache>
                <c:formatCode>_("$"* #,##0_);_("$"* \(#,##0\);_("$"* "-"??_);_(@_)</c:formatCode>
                <c:ptCount val="9"/>
                <c:pt idx="0" formatCode="#,##0_);\(#,##0\)">
                  <c:v>1122.7641799999999</c:v>
                </c:pt>
                <c:pt idx="1">
                  <c:v>51388.916518599995</c:v>
                </c:pt>
                <c:pt idx="2" formatCode="General">
                  <c:v>45.77</c:v>
                </c:pt>
                <c:pt idx="3" formatCode="_(* #,##0_);_(* \(#,##0\);_(* &quot;-&quot;??_);_(@_)">
                  <c:v>3851.4290000000001</c:v>
                </c:pt>
                <c:pt idx="4">
                  <c:v>35779.775409999995</c:v>
                </c:pt>
                <c:pt idx="5" formatCode="_(* #,##0_);_(* \(#,##0\);_(* &quot;-&quot;??_);_(@_)">
                  <c:v>1389.7529999999999</c:v>
                </c:pt>
                <c:pt idx="6">
                  <c:v>7046.0477099999998</c:v>
                </c:pt>
                <c:pt idx="8" formatCode="#,##0_);\(#,##0\)">
                  <c:v>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EF-41F5-A05D-FAD285C854DD}"/>
            </c:ext>
          </c:extLst>
        </c:ser>
        <c:ser>
          <c:idx val="4"/>
          <c:order val="5"/>
          <c:tx>
            <c:strRef>
              <c:f>'Agriculture Prod 2008 - 2020'!$E$4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'Agriculture Prod 2008 - 2020'!$A$6:$A$35</c:f>
              <c:strCache>
                <c:ptCount val="29"/>
                <c:pt idx="0">
                  <c:v>Sugar Cane ("000 long tons)</c:v>
                </c:pt>
                <c:pt idx="1">
                  <c:v> Income $BZ('000)  </c:v>
                </c:pt>
                <c:pt idx="2">
                  <c:v>price </c:v>
                </c:pt>
                <c:pt idx="3">
                  <c:v>Oranges ('000 90 pounds per box)</c:v>
                </c:pt>
                <c:pt idx="4">
                  <c:v>OrangesIncome $BZ ('000)  </c:v>
                </c:pt>
                <c:pt idx="5">
                  <c:v>Grapefruit ('000 80 pounds per box)</c:v>
                </c:pt>
                <c:pt idx="6">
                  <c:v>Grapefruit Income $BZ('000)</c:v>
                </c:pt>
                <c:pt idx="8">
                  <c:v>Bananas ('000 40 pounds per box)</c:v>
                </c:pt>
                <c:pt idx="9">
                  <c:v>Income $BZE('000)</c:v>
                </c:pt>
                <c:pt idx="11">
                  <c:v>B. Grains</c:v>
                </c:pt>
                <c:pt idx="12">
                  <c:v>Corn ('000 lbs)</c:v>
                </c:pt>
                <c:pt idx="13">
                  <c:v>Income BZE$ ('000)</c:v>
                </c:pt>
                <c:pt idx="15">
                  <c:v>Rice paddy ('000 pounds)</c:v>
                </c:pt>
                <c:pt idx="16">
                  <c:v> Income BZE$ ('000)  </c:v>
                </c:pt>
                <c:pt idx="18">
                  <c:v>Soybeans ('000 pounds) </c:v>
                </c:pt>
                <c:pt idx="19">
                  <c:v>Income BZE$ ('000)</c:v>
                </c:pt>
                <c:pt idx="21">
                  <c:v>Black eye peas ('000 pounds) </c:v>
                </c:pt>
                <c:pt idx="22">
                  <c:v>Income BZE$ ('000)</c:v>
                </c:pt>
                <c:pt idx="24">
                  <c:v>Red Kidney Beans ('000 pounds)</c:v>
                </c:pt>
                <c:pt idx="25">
                  <c:v> Income BZE$ ('000) </c:v>
                </c:pt>
                <c:pt idx="27">
                  <c:v>Sorghum ('000 pounds)</c:v>
                </c:pt>
                <c:pt idx="28">
                  <c:v>Income BZE$ ('000)</c:v>
                </c:pt>
              </c:strCache>
            </c:strRef>
          </c:cat>
          <c:val>
            <c:numRef>
              <c:f>'Agriculture Prod 2008 - 2020'!$E$6:$E$14</c:f>
              <c:numCache>
                <c:formatCode>_("$"* #,##0_);_("$"* \(#,##0\);_("$"* "-"??_);_(@_)</c:formatCode>
                <c:ptCount val="9"/>
                <c:pt idx="0" formatCode="#,##0_);\(#,##0\)">
                  <c:v>843.78599999999994</c:v>
                </c:pt>
                <c:pt idx="1">
                  <c:v>60896.035619999995</c:v>
                </c:pt>
                <c:pt idx="2" formatCode="General">
                  <c:v>72.17</c:v>
                </c:pt>
                <c:pt idx="3" formatCode="_(* #,##0_);_(* \(#,##0\);_(* &quot;-&quot;??_);_(@_)">
                  <c:v>4447.4960000000001</c:v>
                </c:pt>
                <c:pt idx="4">
                  <c:v>47187.932560000001</c:v>
                </c:pt>
                <c:pt idx="5" formatCode="_(* #,##0_);_(* \(#,##0\);_(* &quot;-&quot;??_);_(@_)">
                  <c:v>673.04300000000001</c:v>
                </c:pt>
                <c:pt idx="6">
                  <c:v>3412.3280100000002</c:v>
                </c:pt>
                <c:pt idx="8" formatCode="#,##0_);\(#,##0\)">
                  <c:v>4084.701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EF-41F5-A05D-FAD285C854DD}"/>
            </c:ext>
          </c:extLst>
        </c:ser>
        <c:ser>
          <c:idx val="5"/>
          <c:order val="6"/>
          <c:tx>
            <c:strRef>
              <c:f>'Agriculture Prod 2008 - 2020'!$F$4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'Agriculture Prod 2008 - 2020'!$A$6:$A$35</c:f>
              <c:strCache>
                <c:ptCount val="29"/>
                <c:pt idx="0">
                  <c:v>Sugar Cane ("000 long tons)</c:v>
                </c:pt>
                <c:pt idx="1">
                  <c:v> Income $BZ('000)  </c:v>
                </c:pt>
                <c:pt idx="2">
                  <c:v>price </c:v>
                </c:pt>
                <c:pt idx="3">
                  <c:v>Oranges ('000 90 pounds per box)</c:v>
                </c:pt>
                <c:pt idx="4">
                  <c:v>OrangesIncome $BZ ('000)  </c:v>
                </c:pt>
                <c:pt idx="5">
                  <c:v>Grapefruit ('000 80 pounds per box)</c:v>
                </c:pt>
                <c:pt idx="6">
                  <c:v>Grapefruit Income $BZ('000)</c:v>
                </c:pt>
                <c:pt idx="8">
                  <c:v>Bananas ('000 40 pounds per box)</c:v>
                </c:pt>
                <c:pt idx="9">
                  <c:v>Income $BZE('000)</c:v>
                </c:pt>
                <c:pt idx="11">
                  <c:v>B. Grains</c:v>
                </c:pt>
                <c:pt idx="12">
                  <c:v>Corn ('000 lbs)</c:v>
                </c:pt>
                <c:pt idx="13">
                  <c:v>Income BZE$ ('000)</c:v>
                </c:pt>
                <c:pt idx="15">
                  <c:v>Rice paddy ('000 pounds)</c:v>
                </c:pt>
                <c:pt idx="16">
                  <c:v> Income BZE$ ('000)  </c:v>
                </c:pt>
                <c:pt idx="18">
                  <c:v>Soybeans ('000 pounds) </c:v>
                </c:pt>
                <c:pt idx="19">
                  <c:v>Income BZE$ ('000)</c:v>
                </c:pt>
                <c:pt idx="21">
                  <c:v>Black eye peas ('000 pounds) </c:v>
                </c:pt>
                <c:pt idx="22">
                  <c:v>Income BZE$ ('000)</c:v>
                </c:pt>
                <c:pt idx="24">
                  <c:v>Red Kidney Beans ('000 pounds)</c:v>
                </c:pt>
                <c:pt idx="25">
                  <c:v> Income BZE$ ('000) </c:v>
                </c:pt>
                <c:pt idx="27">
                  <c:v>Sorghum ('000 pounds)</c:v>
                </c:pt>
                <c:pt idx="28">
                  <c:v>Income BZE$ ('000)</c:v>
                </c:pt>
              </c:strCache>
            </c:strRef>
          </c:cat>
          <c:val>
            <c:numRef>
              <c:f>'Agriculture Prod 2008 - 2020'!$F$6:$F$14</c:f>
              <c:numCache>
                <c:formatCode>_("$"* #,##0_);_("$"* \(#,##0\);_("$"* "-"??_);_(@_)</c:formatCode>
                <c:ptCount val="9"/>
                <c:pt idx="0" formatCode="#,##0_);\(#,##0\)">
                  <c:v>1070.1279999999999</c:v>
                </c:pt>
                <c:pt idx="1">
                  <c:v>77188.332639999993</c:v>
                </c:pt>
                <c:pt idx="2" formatCode="General">
                  <c:v>72.13</c:v>
                </c:pt>
                <c:pt idx="3" formatCode="_(* #,##0_);_(* \(#,##0\);_(* &quot;-&quot;??_);_(@_)">
                  <c:v>5805.9480000000003</c:v>
                </c:pt>
                <c:pt idx="4">
                  <c:v>84302.364960000006</c:v>
                </c:pt>
                <c:pt idx="5" formatCode="_(* #,##0_);_(* \(#,##0\);_(* &quot;-&quot;??_);_(@_)">
                  <c:v>880.48900000000003</c:v>
                </c:pt>
                <c:pt idx="6">
                  <c:v>7801.1325399999996</c:v>
                </c:pt>
                <c:pt idx="8" formatCode="#,##0_);\(#,##0\)">
                  <c:v>5716.2539999999999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EF-41F5-A05D-FAD285C854DD}"/>
            </c:ext>
          </c:extLst>
        </c:ser>
        <c:ser>
          <c:idx val="6"/>
          <c:order val="7"/>
          <c:tx>
            <c:strRef>
              <c:f>'Agriculture Prod 2008 - 2020'!$G$4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'Agriculture Prod 2008 - 2020'!$A$6:$A$35</c:f>
              <c:strCache>
                <c:ptCount val="29"/>
                <c:pt idx="0">
                  <c:v>Sugar Cane ("000 long tons)</c:v>
                </c:pt>
                <c:pt idx="1">
                  <c:v> Income $BZ('000)  </c:v>
                </c:pt>
                <c:pt idx="2">
                  <c:v>price </c:v>
                </c:pt>
                <c:pt idx="3">
                  <c:v>Oranges ('000 90 pounds per box)</c:v>
                </c:pt>
                <c:pt idx="4">
                  <c:v>OrangesIncome $BZ ('000)  </c:v>
                </c:pt>
                <c:pt idx="5">
                  <c:v>Grapefruit ('000 80 pounds per box)</c:v>
                </c:pt>
                <c:pt idx="6">
                  <c:v>Grapefruit Income $BZ('000)</c:v>
                </c:pt>
                <c:pt idx="8">
                  <c:v>Bananas ('000 40 pounds per box)</c:v>
                </c:pt>
                <c:pt idx="9">
                  <c:v>Income $BZE('000)</c:v>
                </c:pt>
                <c:pt idx="11">
                  <c:v>B. Grains</c:v>
                </c:pt>
                <c:pt idx="12">
                  <c:v>Corn ('000 lbs)</c:v>
                </c:pt>
                <c:pt idx="13">
                  <c:v>Income BZE$ ('000)</c:v>
                </c:pt>
                <c:pt idx="15">
                  <c:v>Rice paddy ('000 pounds)</c:v>
                </c:pt>
                <c:pt idx="16">
                  <c:v> Income BZE$ ('000)  </c:v>
                </c:pt>
                <c:pt idx="18">
                  <c:v>Soybeans ('000 pounds) </c:v>
                </c:pt>
                <c:pt idx="19">
                  <c:v>Income BZE$ ('000)</c:v>
                </c:pt>
                <c:pt idx="21">
                  <c:v>Black eye peas ('000 pounds) </c:v>
                </c:pt>
                <c:pt idx="22">
                  <c:v>Income BZE$ ('000)</c:v>
                </c:pt>
                <c:pt idx="24">
                  <c:v>Red Kidney Beans ('000 pounds)</c:v>
                </c:pt>
                <c:pt idx="25">
                  <c:v> Income BZE$ ('000) </c:v>
                </c:pt>
                <c:pt idx="27">
                  <c:v>Sorghum ('000 pounds)</c:v>
                </c:pt>
                <c:pt idx="28">
                  <c:v>Income BZE$ ('000)</c:v>
                </c:pt>
              </c:strCache>
            </c:strRef>
          </c:cat>
          <c:val>
            <c:numRef>
              <c:f>'Agriculture Prod 2008 - 2020'!$G$6:$G$14</c:f>
              <c:numCache>
                <c:formatCode>_("$"* #,##0_);_("$"* \(#,##0\);_("$"* "-"??_);_(@_)</c:formatCode>
                <c:ptCount val="9"/>
                <c:pt idx="0" formatCode="#,##0_);\(#,##0\)">
                  <c:v>1078.0150000000001</c:v>
                </c:pt>
                <c:pt idx="1">
                  <c:v>79988.713000000003</c:v>
                </c:pt>
                <c:pt idx="2" formatCode="General">
                  <c:v>74.2</c:v>
                </c:pt>
                <c:pt idx="3" formatCode="_(* #,##0_);_(* \(#,##0\);_(* &quot;-&quot;??_);_(@_)">
                  <c:v>4051.6590000000001</c:v>
                </c:pt>
                <c:pt idx="4">
                  <c:v>44608.765590000003</c:v>
                </c:pt>
                <c:pt idx="5" formatCode="_(* #,##0_);_(* \(#,##0\);_(* &quot;-&quot;??_);_(@_)">
                  <c:v>678.14700000000005</c:v>
                </c:pt>
                <c:pt idx="6">
                  <c:v>6340.6744500000004</c:v>
                </c:pt>
                <c:pt idx="8" formatCode="#,##0_);\(#,##0\)">
                  <c:v>5446.8130000000001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EF-41F5-A05D-FAD285C854DD}"/>
            </c:ext>
          </c:extLst>
        </c:ser>
        <c:ser>
          <c:idx val="7"/>
          <c:order val="8"/>
          <c:tx>
            <c:strRef>
              <c:f>'Agriculture Prod 2008 - 2020'!$H$4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'Agriculture Prod 2008 - 2020'!$A$6:$A$35</c:f>
              <c:strCache>
                <c:ptCount val="29"/>
                <c:pt idx="0">
                  <c:v>Sugar Cane ("000 long tons)</c:v>
                </c:pt>
                <c:pt idx="1">
                  <c:v> Income $BZ('000)  </c:v>
                </c:pt>
                <c:pt idx="2">
                  <c:v>price </c:v>
                </c:pt>
                <c:pt idx="3">
                  <c:v>Oranges ('000 90 pounds per box)</c:v>
                </c:pt>
                <c:pt idx="4">
                  <c:v>OrangesIncome $BZ ('000)  </c:v>
                </c:pt>
                <c:pt idx="5">
                  <c:v>Grapefruit ('000 80 pounds per box)</c:v>
                </c:pt>
                <c:pt idx="6">
                  <c:v>Grapefruit Income $BZ('000)</c:v>
                </c:pt>
                <c:pt idx="8">
                  <c:v>Bananas ('000 40 pounds per box)</c:v>
                </c:pt>
                <c:pt idx="9">
                  <c:v>Income $BZE('000)</c:v>
                </c:pt>
                <c:pt idx="11">
                  <c:v>B. Grains</c:v>
                </c:pt>
                <c:pt idx="12">
                  <c:v>Corn ('000 lbs)</c:v>
                </c:pt>
                <c:pt idx="13">
                  <c:v>Income BZE$ ('000)</c:v>
                </c:pt>
                <c:pt idx="15">
                  <c:v>Rice paddy ('000 pounds)</c:v>
                </c:pt>
                <c:pt idx="16">
                  <c:v> Income BZE$ ('000)  </c:v>
                </c:pt>
                <c:pt idx="18">
                  <c:v>Soybeans ('000 pounds) </c:v>
                </c:pt>
                <c:pt idx="19">
                  <c:v>Income BZE$ ('000)</c:v>
                </c:pt>
                <c:pt idx="21">
                  <c:v>Black eye peas ('000 pounds) </c:v>
                </c:pt>
                <c:pt idx="22">
                  <c:v>Income BZE$ ('000)</c:v>
                </c:pt>
                <c:pt idx="24">
                  <c:v>Red Kidney Beans ('000 pounds)</c:v>
                </c:pt>
                <c:pt idx="25">
                  <c:v> Income BZE$ ('000) </c:v>
                </c:pt>
                <c:pt idx="27">
                  <c:v>Sorghum ('000 pounds)</c:v>
                </c:pt>
                <c:pt idx="28">
                  <c:v>Income BZE$ ('000)</c:v>
                </c:pt>
              </c:strCache>
            </c:strRef>
          </c:cat>
          <c:val>
            <c:numRef>
              <c:f>'Agriculture Prod 2008 - 2020'!$H$6:$H$14</c:f>
              <c:numCache>
                <c:formatCode>_("$"* #,##0_);_("$"* \(#,##0\);_("$"* "-"??_);_(@_)</c:formatCode>
                <c:ptCount val="9"/>
                <c:pt idx="0" formatCode="#,##0_);\(#,##0\)">
                  <c:v>1214.125</c:v>
                </c:pt>
                <c:pt idx="1">
                  <c:v>81977.72</c:v>
                </c:pt>
                <c:pt idx="2" formatCode="General">
                  <c:v>67.52</c:v>
                </c:pt>
                <c:pt idx="3" formatCode="_(* #,##0_);_(* \(#,##0\);_(* &quot;-&quot;??_);_(@_)">
                  <c:v>4158.8689999999997</c:v>
                </c:pt>
                <c:pt idx="4">
                  <c:v>45539.615549999995</c:v>
                </c:pt>
                <c:pt idx="5" formatCode="_(* #,##0_);_(* \(#,##0\);_(* &quot;-&quot;??_);_(@_)">
                  <c:v>576.23400000000004</c:v>
                </c:pt>
                <c:pt idx="6">
                  <c:v>5687.42958</c:v>
                </c:pt>
                <c:pt idx="8" formatCode="_(* #,##0_);_(* \(#,##0\);_(* &quot;-&quot;??_);_(@_)">
                  <c:v>5661.558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EF-41F5-A05D-FAD285C854DD}"/>
            </c:ext>
          </c:extLst>
        </c:ser>
        <c:ser>
          <c:idx val="8"/>
          <c:order val="9"/>
          <c:tx>
            <c:strRef>
              <c:f>'Agriculture Prod 2008 - 2020'!$I$4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'Agriculture Prod 2008 - 2020'!$A$6:$A$35</c:f>
              <c:strCache>
                <c:ptCount val="29"/>
                <c:pt idx="0">
                  <c:v>Sugar Cane ("000 long tons)</c:v>
                </c:pt>
                <c:pt idx="1">
                  <c:v> Income $BZ('000)  </c:v>
                </c:pt>
                <c:pt idx="2">
                  <c:v>price </c:v>
                </c:pt>
                <c:pt idx="3">
                  <c:v>Oranges ('000 90 pounds per box)</c:v>
                </c:pt>
                <c:pt idx="4">
                  <c:v>OrangesIncome $BZ ('000)  </c:v>
                </c:pt>
                <c:pt idx="5">
                  <c:v>Grapefruit ('000 80 pounds per box)</c:v>
                </c:pt>
                <c:pt idx="6">
                  <c:v>Grapefruit Income $BZ('000)</c:v>
                </c:pt>
                <c:pt idx="8">
                  <c:v>Bananas ('000 40 pounds per box)</c:v>
                </c:pt>
                <c:pt idx="9">
                  <c:v>Income $BZE('000)</c:v>
                </c:pt>
                <c:pt idx="11">
                  <c:v>B. Grains</c:v>
                </c:pt>
                <c:pt idx="12">
                  <c:v>Corn ('000 lbs)</c:v>
                </c:pt>
                <c:pt idx="13">
                  <c:v>Income BZE$ ('000)</c:v>
                </c:pt>
                <c:pt idx="15">
                  <c:v>Rice paddy ('000 pounds)</c:v>
                </c:pt>
                <c:pt idx="16">
                  <c:v> Income BZE$ ('000)  </c:v>
                </c:pt>
                <c:pt idx="18">
                  <c:v>Soybeans ('000 pounds) </c:v>
                </c:pt>
                <c:pt idx="19">
                  <c:v>Income BZE$ ('000)</c:v>
                </c:pt>
                <c:pt idx="21">
                  <c:v>Black eye peas ('000 pounds) </c:v>
                </c:pt>
                <c:pt idx="22">
                  <c:v>Income BZE$ ('000)</c:v>
                </c:pt>
                <c:pt idx="24">
                  <c:v>Red Kidney Beans ('000 pounds)</c:v>
                </c:pt>
                <c:pt idx="25">
                  <c:v> Income BZE$ ('000) </c:v>
                </c:pt>
                <c:pt idx="27">
                  <c:v>Sorghum ('000 pounds)</c:v>
                </c:pt>
                <c:pt idx="28">
                  <c:v>Income BZE$ ('000)</c:v>
                </c:pt>
              </c:strCache>
            </c:strRef>
          </c:cat>
          <c:val>
            <c:numRef>
              <c:f>'Agriculture Prod 2008 - 2020'!$I$6:$I$14</c:f>
              <c:numCache>
                <c:formatCode>_("$"* #,##0_);_("$"* \(#,##0\);_("$"* "-"??_);_(@_)</c:formatCode>
                <c:ptCount val="9"/>
                <c:pt idx="0" formatCode="_(* #,##0_);_(* \(#,##0\);_(* &quot;-&quot;??_);_(@_)">
                  <c:v>1186.154</c:v>
                </c:pt>
                <c:pt idx="1">
                  <c:v>90017.227060000005</c:v>
                </c:pt>
                <c:pt idx="2" formatCode="General">
                  <c:v>75.89</c:v>
                </c:pt>
                <c:pt idx="3" formatCode="_(* #,##0_);_(* \(#,##0\);_(* &quot;-&quot;??_);_(@_)">
                  <c:v>3963.779</c:v>
                </c:pt>
                <c:pt idx="4">
                  <c:v>47327.521260000001</c:v>
                </c:pt>
                <c:pt idx="5" formatCode="_(* #,##0_);_(* \(#,##0\);_(* &quot;-&quot;??_);_(@_)">
                  <c:v>722.10400000000004</c:v>
                </c:pt>
                <c:pt idx="6">
                  <c:v>7163.2716800000007</c:v>
                </c:pt>
                <c:pt idx="8" formatCode="_(* #,##0_);_(* \(#,##0\);_(* &quot;-&quot;??_);_(@_)">
                  <c:v>5447.9759999999997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EF-41F5-A05D-FAD285C85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76992"/>
        <c:axId val="88278528"/>
      </c:barChart>
      <c:catAx>
        <c:axId val="8827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278528"/>
        <c:crosses val="autoZero"/>
        <c:auto val="1"/>
        <c:lblAlgn val="ctr"/>
        <c:lblOffset val="100"/>
        <c:noMultiLvlLbl val="0"/>
      </c:catAx>
      <c:valAx>
        <c:axId val="88278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production quantities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2769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Sugar</a:t>
            </a:r>
            <a:r>
              <a:rPr lang="en-BZ" baseline="0"/>
              <a:t> Production 2008 - 2020</a:t>
            </a:r>
            <a:endParaRPr lang="en-B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'sugar '!$H$11</c:f>
              <c:strCache>
                <c:ptCount val="1"/>
                <c:pt idx="0">
                  <c:v>Sugar Cane ("000 long tons)</c:v>
                </c:pt>
              </c:strCache>
            </c:strRef>
          </c:tx>
          <c:invertIfNegative val="0"/>
          <c:cat>
            <c:strRef>
              <c:f>'sugar '!$I$10:$U$10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'sugar '!$I$11:$U$11</c:f>
              <c:numCache>
                <c:formatCode>#,##0_);\(#,##0\)</c:formatCode>
                <c:ptCount val="13"/>
                <c:pt idx="0">
                  <c:v>980</c:v>
                </c:pt>
                <c:pt idx="1">
                  <c:v>918</c:v>
                </c:pt>
                <c:pt idx="2">
                  <c:v>1122.7641799999999</c:v>
                </c:pt>
                <c:pt idx="3">
                  <c:v>843.78599999999994</c:v>
                </c:pt>
                <c:pt idx="4">
                  <c:v>1070.1279999999999</c:v>
                </c:pt>
                <c:pt idx="5">
                  <c:v>1078.0150000000001</c:v>
                </c:pt>
                <c:pt idx="6">
                  <c:v>1214.125</c:v>
                </c:pt>
                <c:pt idx="7">
                  <c:v>1186.154</c:v>
                </c:pt>
                <c:pt idx="8">
                  <c:v>1478</c:v>
                </c:pt>
                <c:pt idx="9">
                  <c:v>1670</c:v>
                </c:pt>
                <c:pt idx="10" formatCode="_(* #,##0_);_(* \(#,##0\);_(* &quot;-&quot;??_);_(@_)">
                  <c:v>1707.537</c:v>
                </c:pt>
                <c:pt idx="11">
                  <c:v>1794.029</c:v>
                </c:pt>
                <c:pt idx="12" formatCode="_(* #,##0_);_(* \(#,##0\);_(* &quot;-&quot;??_);_(@_)">
                  <c:v>1707.537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0-43E6-86C9-97375446B6B3}"/>
            </c:ext>
          </c:extLst>
        </c:ser>
        <c:ser>
          <c:idx val="1"/>
          <c:order val="1"/>
          <c:tx>
            <c:strRef>
              <c:f>'sugar '!$H$12</c:f>
              <c:strCache>
                <c:ptCount val="1"/>
              </c:strCache>
            </c:strRef>
          </c:tx>
          <c:invertIfNegative val="0"/>
          <c:cat>
            <c:strRef>
              <c:f>'sugar '!$I$10:$U$10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'sugar '!$I$12:$U$12</c:f>
            </c:numRef>
          </c:val>
          <c:extLst>
            <c:ext xmlns:c16="http://schemas.microsoft.com/office/drawing/2014/chart" uri="{C3380CC4-5D6E-409C-BE32-E72D297353CC}">
              <c16:uniqueId val="{00000001-6980-43E6-86C9-97375446B6B3}"/>
            </c:ext>
          </c:extLst>
        </c:ser>
        <c:ser>
          <c:idx val="2"/>
          <c:order val="2"/>
          <c:tx>
            <c:strRef>
              <c:f>'sugar '!$H$13</c:f>
              <c:strCache>
                <c:ptCount val="1"/>
                <c:pt idx="0">
                  <c:v>Sugar ('000 Long Tons)</c:v>
                </c:pt>
              </c:strCache>
            </c:strRef>
          </c:tx>
          <c:invertIfNegative val="0"/>
          <c:cat>
            <c:strRef>
              <c:f>'sugar '!$I$10:$U$10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'sugar '!$I$13:$U$13</c:f>
              <c:numCache>
                <c:formatCode>#,##0</c:formatCode>
                <c:ptCount val="13"/>
                <c:pt idx="0">
                  <c:v>66.28</c:v>
                </c:pt>
                <c:pt idx="1">
                  <c:v>77.48</c:v>
                </c:pt>
                <c:pt idx="2">
                  <c:v>72.36</c:v>
                </c:pt>
                <c:pt idx="3">
                  <c:v>81.75</c:v>
                </c:pt>
                <c:pt idx="4">
                  <c:v>97.26</c:v>
                </c:pt>
                <c:pt idx="5">
                  <c:v>105.21</c:v>
                </c:pt>
                <c:pt idx="6">
                  <c:v>105.42</c:v>
                </c:pt>
                <c:pt idx="7">
                  <c:v>125.37</c:v>
                </c:pt>
                <c:pt idx="8" formatCode="_(* #,##0_);_(* \(#,##0\);_(* &quot;-&quot;??_);_(@_)">
                  <c:v>146</c:v>
                </c:pt>
                <c:pt idx="9" formatCode="_(* #,##0_);_(* \(#,##0\);_(* &quot;-&quot;??_);_(@_)">
                  <c:v>177.6</c:v>
                </c:pt>
                <c:pt idx="10" formatCode="0">
                  <c:v>178.20500000000001</c:v>
                </c:pt>
                <c:pt idx="11" formatCode="_(* #,##0_);_(* \(#,##0\);_(* &quot;-&quot;??_);_(@_)">
                  <c:v>198.143</c:v>
                </c:pt>
                <c:pt idx="12" formatCode="0">
                  <c:v>178.20500000000001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0-43E6-86C9-97375446B6B3}"/>
            </c:ext>
          </c:extLst>
        </c:ser>
        <c:ser>
          <c:idx val="3"/>
          <c:order val="3"/>
          <c:tx>
            <c:strRef>
              <c:f>'sugar '!$H$14</c:f>
              <c:strCache>
                <c:ptCount val="1"/>
              </c:strCache>
            </c:strRef>
          </c:tx>
          <c:invertIfNegative val="0"/>
          <c:cat>
            <c:strRef>
              <c:f>'sugar '!$I$10:$U$10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'sugar '!$I$14:$U$14</c:f>
            </c:numRef>
          </c:val>
          <c:extLst>
            <c:ext xmlns:c16="http://schemas.microsoft.com/office/drawing/2014/chart" uri="{C3380CC4-5D6E-409C-BE32-E72D297353CC}">
              <c16:uniqueId val="{00000003-6980-43E6-86C9-97375446B6B3}"/>
            </c:ext>
          </c:extLst>
        </c:ser>
        <c:ser>
          <c:idx val="4"/>
          <c:order val="4"/>
          <c:tx>
            <c:strRef>
              <c:f>'sugar '!$H$15</c:f>
              <c:strCache>
                <c:ptCount val="1"/>
                <c:pt idx="0">
                  <c:v>Molasses (million gals)</c:v>
                </c:pt>
              </c:strCache>
            </c:strRef>
          </c:tx>
          <c:invertIfNegative val="0"/>
          <c:cat>
            <c:strRef>
              <c:f>'sugar '!$I$10:$U$10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'sugar '!$I$15:$U$15</c:f>
              <c:numCache>
                <c:formatCode>0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8.11</c:v>
                </c:pt>
                <c:pt idx="3">
                  <c:v>4.33</c:v>
                </c:pt>
                <c:pt idx="4">
                  <c:v>4.34</c:v>
                </c:pt>
                <c:pt idx="5">
                  <c:v>9.76</c:v>
                </c:pt>
                <c:pt idx="6">
                  <c:v>7.53</c:v>
                </c:pt>
                <c:pt idx="7">
                  <c:v>7.11</c:v>
                </c:pt>
                <c:pt idx="8" formatCode="_(* #,##0_);_(* \(#,##0\);_(* &quot;-&quot;??_);_(@_)">
                  <c:v>8.3000000000000007</c:v>
                </c:pt>
                <c:pt idx="9" formatCode="_(* #,##0_);_(* \(#,##0\);_(* &quot;-&quot;??_);_(@_)">
                  <c:v>12.48</c:v>
                </c:pt>
                <c:pt idx="10">
                  <c:v>10.07</c:v>
                </c:pt>
                <c:pt idx="11" formatCode="_(* #,##0_);_(* \(#,##0\);_(* &quot;-&quot;??_);_(@_)">
                  <c:v>13.15</c:v>
                </c:pt>
                <c:pt idx="12">
                  <c:v>11.15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0-43E6-86C9-97375446B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70176"/>
        <c:axId val="133976064"/>
      </c:barChart>
      <c:catAx>
        <c:axId val="1339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976064"/>
        <c:crosses val="autoZero"/>
        <c:auto val="1"/>
        <c:lblAlgn val="ctr"/>
        <c:lblOffset val="100"/>
        <c:noMultiLvlLbl val="0"/>
      </c:catAx>
      <c:valAx>
        <c:axId val="133976064"/>
        <c:scaling>
          <c:orientation val="minMax"/>
        </c:scaling>
        <c:delete val="0"/>
        <c:axPos val="l"/>
        <c:majorGridlines/>
        <c:title>
          <c:overlay val="0"/>
        </c:title>
        <c:numFmt formatCode="#,##0_);\(#,##0\)" sourceLinked="1"/>
        <c:majorTickMark val="none"/>
        <c:minorTickMark val="none"/>
        <c:tickLblPos val="nextTo"/>
        <c:crossAx val="133970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Corn</a:t>
            </a:r>
            <a:r>
              <a:rPr lang="en-BZ" baseline="0"/>
              <a:t> production and income generation from 2008 -  2020  </a:t>
            </a:r>
            <a:endParaRPr lang="en-BZ"/>
          </a:p>
        </c:rich>
      </c:tx>
      <c:layout>
        <c:manualLayout>
          <c:xMode val="edge"/>
          <c:yMode val="edge"/>
          <c:x val="0.18238934907418378"/>
          <c:y val="3.034482758620689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Prod 2008 - 2020'!$A$18</c:f>
              <c:strCache>
                <c:ptCount val="1"/>
                <c:pt idx="0">
                  <c:v>Corn ('000 lbs)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2008 - 2020'!$B$18:$N$18</c:f>
              <c:numCache>
                <c:formatCode>#,##0_);\(#,##0\)</c:formatCode>
                <c:ptCount val="13"/>
                <c:pt idx="0">
                  <c:v>81684</c:v>
                </c:pt>
                <c:pt idx="1">
                  <c:v>126400.995</c:v>
                </c:pt>
                <c:pt idx="2">
                  <c:v>127975</c:v>
                </c:pt>
                <c:pt idx="3" formatCode="_(* #,##0_);_(* \(#,##0\);_(* &quot;-&quot;??_);_(@_)">
                  <c:v>138241</c:v>
                </c:pt>
                <c:pt idx="4" formatCode="_(* #,##0_);_(* \(#,##0\);_(* &quot;-&quot;??_);_(@_)">
                  <c:v>139929.97700000001</c:v>
                </c:pt>
                <c:pt idx="5" formatCode="_(* #,##0_);_(* \(#,##0\);_(* &quot;-&quot;??_);_(@_)">
                  <c:v>158567.443</c:v>
                </c:pt>
                <c:pt idx="6" formatCode="_(* #,##0_);_(* \(#,##0\);_(* &quot;-&quot;??_);_(@_)">
                  <c:v>152490.63500000001</c:v>
                </c:pt>
                <c:pt idx="7" formatCode="_(* #,##0_);_(* \(#,##0\);_(* &quot;-&quot;??_);_(@_)">
                  <c:v>127209.413</c:v>
                </c:pt>
                <c:pt idx="8" formatCode="_(* #,##0_);_(* \(#,##0\);_(* &quot;-&quot;??_);_(@_)">
                  <c:v>144977.995</c:v>
                </c:pt>
                <c:pt idx="9" formatCode="_(* #,##0_);_(* \(#,##0\);_(* &quot;-&quot;??_);_(@_)">
                  <c:v>197390.815</c:v>
                </c:pt>
                <c:pt idx="10" formatCode="_(* #,##0_);_(* \(#,##0\);_(* &quot;-&quot;??_);_(@_)">
                  <c:v>171442.799</c:v>
                </c:pt>
                <c:pt idx="11" formatCode="_(* #,##0_);_(* \(#,##0\);_(* &quot;-&quot;??_);_(@_)">
                  <c:v>127976.895</c:v>
                </c:pt>
                <c:pt idx="12" formatCode="_(* #,##0_);_(* \(#,##0\);_(* &quot;-&quot;??_);_(@_)">
                  <c:v>183728.14499999999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A-4FD1-A7C2-C8E9C479111E}"/>
            </c:ext>
          </c:extLst>
        </c:ser>
        <c:ser>
          <c:idx val="1"/>
          <c:order val="1"/>
          <c:tx>
            <c:strRef>
              <c:f>'Agriculture Prod 2008 - 2020'!$A$19</c:f>
              <c:strCache>
                <c:ptCount val="1"/>
                <c:pt idx="0">
                  <c:v>Income BZE$ ('000)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2008 - 2020'!$B$19:$N$19</c:f>
              <c:numCache>
                <c:formatCode>_("$"* #,##0_);_("$"* \(#,##0\);_("$"* "-"??_);_(@_)</c:formatCode>
                <c:ptCount val="13"/>
                <c:pt idx="0">
                  <c:v>22054.68</c:v>
                </c:pt>
                <c:pt idx="1">
                  <c:v>34128.268649999998</c:v>
                </c:pt>
                <c:pt idx="2">
                  <c:v>38392.5</c:v>
                </c:pt>
                <c:pt idx="3">
                  <c:v>41472.299999999996</c:v>
                </c:pt>
                <c:pt idx="4">
                  <c:v>37781.093790000006</c:v>
                </c:pt>
                <c:pt idx="5">
                  <c:v>47570.232899999995</c:v>
                </c:pt>
                <c:pt idx="6">
                  <c:v>45747.190500000004</c:v>
                </c:pt>
                <c:pt idx="7">
                  <c:v>38162.823899999996</c:v>
                </c:pt>
                <c:pt idx="8">
                  <c:v>43493.398499999996</c:v>
                </c:pt>
                <c:pt idx="9">
                  <c:v>49347.703750000001</c:v>
                </c:pt>
                <c:pt idx="10">
                  <c:v>39431.843769999999</c:v>
                </c:pt>
                <c:pt idx="11">
                  <c:v>31876.06</c:v>
                </c:pt>
                <c:pt idx="12">
                  <c:v>51443.880599999997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7-4369-8A4A-A9941DBBC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35712"/>
        <c:axId val="134037504"/>
      </c:barChart>
      <c:catAx>
        <c:axId val="13403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4037504"/>
        <c:crosses val="autoZero"/>
        <c:auto val="1"/>
        <c:lblAlgn val="ctr"/>
        <c:lblOffset val="100"/>
        <c:noMultiLvlLbl val="0"/>
      </c:catAx>
      <c:valAx>
        <c:axId val="13403750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crossAx val="134035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Rice paddy production and</a:t>
            </a:r>
            <a:r>
              <a:rPr lang="en-US" baseline="0"/>
              <a:t> income figures for </a:t>
            </a:r>
            <a:r>
              <a:rPr lang="en-US"/>
              <a:t> 2008-2020 </a:t>
            </a:r>
          </a:p>
        </c:rich>
      </c:tx>
      <c:layout>
        <c:manualLayout>
          <c:xMode val="edge"/>
          <c:yMode val="edge"/>
          <c:x val="0.21731781309807569"/>
          <c:y val="1.86915887850467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Prod 2008 - 2020'!$A$21</c:f>
              <c:strCache>
                <c:ptCount val="1"/>
                <c:pt idx="0">
                  <c:v>Rice paddy ('000 pounds)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2008 - 2020'!$B$21:$N$21</c:f>
              <c:numCache>
                <c:formatCode>#,##0_);\(#,##0\)</c:formatCode>
                <c:ptCount val="13"/>
                <c:pt idx="0">
                  <c:v>25971</c:v>
                </c:pt>
                <c:pt idx="1">
                  <c:v>45449</c:v>
                </c:pt>
                <c:pt idx="2">
                  <c:v>45246</c:v>
                </c:pt>
                <c:pt idx="3">
                  <c:v>42068</c:v>
                </c:pt>
                <c:pt idx="4">
                  <c:v>27155.356</c:v>
                </c:pt>
                <c:pt idx="5">
                  <c:v>45205.451999999997</c:v>
                </c:pt>
                <c:pt idx="6">
                  <c:v>35845.114999999998</c:v>
                </c:pt>
                <c:pt idx="7">
                  <c:v>27917.407999999999</c:v>
                </c:pt>
                <c:pt idx="8" formatCode="_(* #,##0_);_(* \(#,##0\);_(* &quot;-&quot;??_);_(@_)">
                  <c:v>35720.675999999999</c:v>
                </c:pt>
                <c:pt idx="9" formatCode="_(* #,##0_);_(* \(#,##0\);_(* &quot;-&quot;??_);_(@_)">
                  <c:v>41338.6</c:v>
                </c:pt>
                <c:pt idx="10">
                  <c:v>29487.154999999999</c:v>
                </c:pt>
                <c:pt idx="11">
                  <c:v>30643.7</c:v>
                </c:pt>
                <c:pt idx="12">
                  <c:v>30736.9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C-43F3-B9B1-99D2467E0217}"/>
            </c:ext>
          </c:extLst>
        </c:ser>
        <c:ser>
          <c:idx val="1"/>
          <c:order val="1"/>
          <c:tx>
            <c:strRef>
              <c:f>'Agriculture Prod 2008 - 2020'!$A$22</c:f>
              <c:strCache>
                <c:ptCount val="1"/>
                <c:pt idx="0">
                  <c:v> Income BZE$ ('000)  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2008 - 2020'!$B$22:$N$22</c:f>
              <c:numCache>
                <c:formatCode>_("$"* #,##0_);_("$"* \(#,##0\);_("$"* "-"??_);_(@_)</c:formatCode>
                <c:ptCount val="13"/>
                <c:pt idx="0">
                  <c:v>6492.75</c:v>
                </c:pt>
                <c:pt idx="1">
                  <c:v>14998.17</c:v>
                </c:pt>
                <c:pt idx="2">
                  <c:v>14931.18</c:v>
                </c:pt>
                <c:pt idx="3">
                  <c:v>13882.44</c:v>
                </c:pt>
                <c:pt idx="4">
                  <c:v>6788.8389999999999</c:v>
                </c:pt>
                <c:pt idx="5">
                  <c:v>13561.6356</c:v>
                </c:pt>
                <c:pt idx="6">
                  <c:v>14338.046</c:v>
                </c:pt>
                <c:pt idx="7">
                  <c:v>12562.8336</c:v>
                </c:pt>
                <c:pt idx="8">
                  <c:v>16074.3042</c:v>
                </c:pt>
                <c:pt idx="9">
                  <c:v>16535.439999999999</c:v>
                </c:pt>
                <c:pt idx="10">
                  <c:v>11794.862000000001</c:v>
                </c:pt>
                <c:pt idx="11">
                  <c:v>12257.480000000001</c:v>
                </c:pt>
                <c:pt idx="12">
                  <c:v>12294.760000000002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1-4259-9C26-926046A5E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84480"/>
        <c:axId val="134086016"/>
      </c:barChart>
      <c:catAx>
        <c:axId val="13408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4086016"/>
        <c:crosses val="autoZero"/>
        <c:auto val="1"/>
        <c:lblAlgn val="ctr"/>
        <c:lblOffset val="100"/>
        <c:noMultiLvlLbl val="0"/>
      </c:catAx>
      <c:valAx>
        <c:axId val="134086016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crossAx val="134084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Red Kidney Beans production 2008-2020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'Agriculture Prod 2008 - 2020'!$A$30</c:f>
              <c:strCache>
                <c:ptCount val="1"/>
                <c:pt idx="0">
                  <c:v>Red Kidney Beans ('000 pounds)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2008 - 2020'!$B$30:$N$30</c:f>
              <c:numCache>
                <c:formatCode>_(* #,##0_);_(* \(#,##0\);_(* "-"??_);_(@_)</c:formatCode>
                <c:ptCount val="13"/>
                <c:pt idx="0">
                  <c:v>5533</c:v>
                </c:pt>
                <c:pt idx="1">
                  <c:v>5874</c:v>
                </c:pt>
                <c:pt idx="2">
                  <c:v>14573</c:v>
                </c:pt>
                <c:pt idx="3">
                  <c:v>8167</c:v>
                </c:pt>
                <c:pt idx="4">
                  <c:v>13318</c:v>
                </c:pt>
                <c:pt idx="5">
                  <c:v>12479</c:v>
                </c:pt>
                <c:pt idx="6">
                  <c:v>10340</c:v>
                </c:pt>
                <c:pt idx="7">
                  <c:v>21239</c:v>
                </c:pt>
                <c:pt idx="8">
                  <c:v>9680.3700000000008</c:v>
                </c:pt>
                <c:pt idx="9">
                  <c:v>11541.3</c:v>
                </c:pt>
                <c:pt idx="10">
                  <c:v>11987.85</c:v>
                </c:pt>
                <c:pt idx="11">
                  <c:v>11671.424999999999</c:v>
                </c:pt>
                <c:pt idx="12">
                  <c:v>11347.192999999999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E-4D58-A085-C55424EC9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34169728"/>
        <c:axId val="134171264"/>
        <c:axId val="0"/>
      </c:bar3DChart>
      <c:catAx>
        <c:axId val="1341697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4171264"/>
        <c:crosses val="autoZero"/>
        <c:auto val="1"/>
        <c:lblAlgn val="ctr"/>
        <c:lblOffset val="100"/>
        <c:noMultiLvlLbl val="0"/>
      </c:catAx>
      <c:valAx>
        <c:axId val="134171264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none"/>
        <c:minorTickMark val="none"/>
        <c:tickLblPos val="nextTo"/>
        <c:crossAx val="134169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Production and Income of RK Beans from</a:t>
            </a:r>
            <a:r>
              <a:rPr lang="en-US" baseline="0"/>
              <a:t> 2008-2020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Prod 2008 - 2020'!$A$30</c:f>
              <c:strCache>
                <c:ptCount val="1"/>
                <c:pt idx="0">
                  <c:v>Red Kidney Beans ('000 pounds)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2008 - 2020'!$B$30:$N$30</c:f>
              <c:numCache>
                <c:formatCode>_(* #,##0_);_(* \(#,##0\);_(* "-"??_);_(@_)</c:formatCode>
                <c:ptCount val="13"/>
                <c:pt idx="0">
                  <c:v>5533</c:v>
                </c:pt>
                <c:pt idx="1">
                  <c:v>5874</c:v>
                </c:pt>
                <c:pt idx="2">
                  <c:v>14573</c:v>
                </c:pt>
                <c:pt idx="3">
                  <c:v>8167</c:v>
                </c:pt>
                <c:pt idx="4">
                  <c:v>13318</c:v>
                </c:pt>
                <c:pt idx="5">
                  <c:v>12479</c:v>
                </c:pt>
                <c:pt idx="6">
                  <c:v>10340</c:v>
                </c:pt>
                <c:pt idx="7">
                  <c:v>21239</c:v>
                </c:pt>
                <c:pt idx="8">
                  <c:v>9680.3700000000008</c:v>
                </c:pt>
                <c:pt idx="9">
                  <c:v>11541.3</c:v>
                </c:pt>
                <c:pt idx="10">
                  <c:v>11987.85</c:v>
                </c:pt>
                <c:pt idx="11">
                  <c:v>11671.424999999999</c:v>
                </c:pt>
                <c:pt idx="12">
                  <c:v>11347.192999999999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6-4331-A254-E80DE6D89E2A}"/>
            </c:ext>
          </c:extLst>
        </c:ser>
        <c:ser>
          <c:idx val="1"/>
          <c:order val="1"/>
          <c:tx>
            <c:strRef>
              <c:f>'Agriculture Prod 2008 - 2020'!$A$31</c:f>
              <c:strCache>
                <c:ptCount val="1"/>
                <c:pt idx="0">
                  <c:v> Income BZE$ ('000) 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2008 - 2020'!$B$31:$N$31</c:f>
              <c:numCache>
                <c:formatCode>_("$"* #,##0_);_("$"* \(#,##0\);_("$"* "-"??_);_(@_)</c:formatCode>
                <c:ptCount val="13"/>
                <c:pt idx="0">
                  <c:v>6639.5999999999995</c:v>
                </c:pt>
                <c:pt idx="1">
                  <c:v>8517.2999999999993</c:v>
                </c:pt>
                <c:pt idx="2">
                  <c:v>21130.85</c:v>
                </c:pt>
                <c:pt idx="3">
                  <c:v>11842.15</c:v>
                </c:pt>
                <c:pt idx="4">
                  <c:v>11986.2</c:v>
                </c:pt>
                <c:pt idx="5">
                  <c:v>9983.2000000000007</c:v>
                </c:pt>
                <c:pt idx="6">
                  <c:v>8789</c:v>
                </c:pt>
                <c:pt idx="7">
                  <c:v>15929.25</c:v>
                </c:pt>
                <c:pt idx="8">
                  <c:v>6776.259</c:v>
                </c:pt>
                <c:pt idx="9">
                  <c:v>11195.061</c:v>
                </c:pt>
                <c:pt idx="10">
                  <c:v>10789.065000000001</c:v>
                </c:pt>
                <c:pt idx="11">
                  <c:v>10504.282499999999</c:v>
                </c:pt>
                <c:pt idx="12">
                  <c:v>10779.833349999999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F-4807-A437-D8DA11FF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01728"/>
        <c:axId val="134203264"/>
      </c:barChart>
      <c:catAx>
        <c:axId val="134201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4203264"/>
        <c:crosses val="autoZero"/>
        <c:auto val="1"/>
        <c:lblAlgn val="ctr"/>
        <c:lblOffset val="100"/>
        <c:noMultiLvlLbl val="0"/>
      </c:catAx>
      <c:valAx>
        <c:axId val="134203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Volume </a:t>
                </a:r>
                <a:r>
                  <a:rPr lang="en-BZ" baseline="0"/>
                  <a:t> produced </a:t>
                </a:r>
                <a:endParaRPr lang="en-BZ"/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34201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Poultry Production</a:t>
            </a:r>
            <a:r>
              <a:rPr lang="en-BZ" baseline="0"/>
              <a:t> and Income from 2008-2020 </a:t>
            </a:r>
            <a:endParaRPr lang="en-BZ"/>
          </a:p>
        </c:rich>
      </c:tx>
      <c:layout>
        <c:manualLayout>
          <c:xMode val="edge"/>
          <c:yMode val="edge"/>
          <c:x val="0.39020560315423125"/>
          <c:y val="3.3755283233405292E-2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strRef>
              <c:f>'Agriculture Prod 2008 - 2020'!$A$48</c:f>
              <c:strCache>
                <c:ptCount val="1"/>
                <c:pt idx="0">
                  <c:v>Poultry No. slaughtered ('000 units)</c:v>
                </c:pt>
              </c:strCache>
            </c:strRef>
          </c:tx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2008 - 2020'!$B$48:$N$48</c:f>
              <c:numCache>
                <c:formatCode>#,##0_);\(#,##0\)</c:formatCode>
                <c:ptCount val="13"/>
                <c:pt idx="0">
                  <c:v>8329.0110000000004</c:v>
                </c:pt>
                <c:pt idx="1">
                  <c:v>8428.6110000000008</c:v>
                </c:pt>
                <c:pt idx="2">
                  <c:v>8589.5519999999997</c:v>
                </c:pt>
                <c:pt idx="3">
                  <c:v>8816.6229999999996</c:v>
                </c:pt>
                <c:pt idx="4">
                  <c:v>8964.84</c:v>
                </c:pt>
                <c:pt idx="5">
                  <c:v>9954</c:v>
                </c:pt>
                <c:pt idx="6">
                  <c:v>10690</c:v>
                </c:pt>
                <c:pt idx="7">
                  <c:v>11212</c:v>
                </c:pt>
                <c:pt idx="8">
                  <c:v>11669.21</c:v>
                </c:pt>
                <c:pt idx="9">
                  <c:v>11869.579</c:v>
                </c:pt>
                <c:pt idx="10">
                  <c:v>11670.302</c:v>
                </c:pt>
                <c:pt idx="11">
                  <c:v>12018.991</c:v>
                </c:pt>
                <c:pt idx="12">
                  <c:v>10720.882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B-48D9-9F46-625E1D57FB6A}"/>
            </c:ext>
          </c:extLst>
        </c:ser>
        <c:ser>
          <c:idx val="0"/>
          <c:order val="1"/>
          <c:tx>
            <c:strRef>
              <c:f>'Agriculture Prod 2008 - 2020'!$A$49</c:f>
              <c:strCache>
                <c:ptCount val="1"/>
                <c:pt idx="0">
                  <c:v>Poultry dressed weight ('000 pounds)</c:v>
                </c:pt>
              </c:strCache>
            </c:strRef>
          </c:tx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2008 - 2020'!$B$49:$N$49</c:f>
              <c:numCache>
                <c:formatCode>#,##0_);\(#,##0\)</c:formatCode>
                <c:ptCount val="13"/>
                <c:pt idx="0">
                  <c:v>27767.401999999998</c:v>
                </c:pt>
                <c:pt idx="1">
                  <c:v>28577.081999999999</c:v>
                </c:pt>
                <c:pt idx="2">
                  <c:v>30112.763999999999</c:v>
                </c:pt>
                <c:pt idx="3">
                  <c:v>30578.971000000001</c:v>
                </c:pt>
                <c:pt idx="4">
                  <c:v>31549.690999999999</c:v>
                </c:pt>
                <c:pt idx="5">
                  <c:v>35312</c:v>
                </c:pt>
                <c:pt idx="6">
                  <c:v>38578.868000000002</c:v>
                </c:pt>
                <c:pt idx="7">
                  <c:v>40773.786599999999</c:v>
                </c:pt>
                <c:pt idx="8">
                  <c:v>41719.106</c:v>
                </c:pt>
                <c:pt idx="9">
                  <c:v>43310.911999999997</c:v>
                </c:pt>
                <c:pt idx="10">
                  <c:v>43380.811000000002</c:v>
                </c:pt>
                <c:pt idx="11">
                  <c:v>44903.26</c:v>
                </c:pt>
                <c:pt idx="12">
                  <c:v>40339.069000000003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F-4D2C-8F0E-C2E50B576B4F}"/>
            </c:ext>
          </c:extLst>
        </c:ser>
        <c:ser>
          <c:idx val="2"/>
          <c:order val="2"/>
          <c:tx>
            <c:strRef>
              <c:f>'Agriculture Prod 2008 - 2020'!$A$50</c:f>
              <c:strCache>
                <c:ptCount val="1"/>
                <c:pt idx="0">
                  <c:v> Income $BZ ('000) </c:v>
                </c:pt>
              </c:strCache>
            </c:strRef>
          </c:tx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2008 - 2020'!$B$50:$N$50</c:f>
              <c:numCache>
                <c:formatCode>_([$$-409]* #,##0_);_([$$-409]* \(#,##0\);_([$$-409]* "-"??_);_(@_)</c:formatCode>
                <c:ptCount val="13"/>
                <c:pt idx="0">
                  <c:v>66919.438819999996</c:v>
                </c:pt>
                <c:pt idx="1">
                  <c:v>62869.580399999999</c:v>
                </c:pt>
                <c:pt idx="2">
                  <c:v>67753.718999999997</c:v>
                </c:pt>
                <c:pt idx="3">
                  <c:v>70331.633300000001</c:v>
                </c:pt>
                <c:pt idx="4">
                  <c:v>77296.74295</c:v>
                </c:pt>
                <c:pt idx="5">
                  <c:v>93576.8</c:v>
                </c:pt>
                <c:pt idx="6">
                  <c:v>92975.071880000018</c:v>
                </c:pt>
                <c:pt idx="7">
                  <c:v>101118.990768</c:v>
                </c:pt>
                <c:pt idx="8">
                  <c:v>100125.8544</c:v>
                </c:pt>
                <c:pt idx="9">
                  <c:v>102213.75231999999</c:v>
                </c:pt>
                <c:pt idx="10">
                  <c:v>102378.71395999999</c:v>
                </c:pt>
                <c:pt idx="11">
                  <c:v>104175.5632</c:v>
                </c:pt>
                <c:pt idx="12">
                  <c:v>95200.202839999998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F-4D2C-8F0E-C2E50B576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6256"/>
        <c:axId val="112977792"/>
      </c:lineChart>
      <c:catAx>
        <c:axId val="1129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2977792"/>
        <c:crosses val="autoZero"/>
        <c:auto val="1"/>
        <c:lblAlgn val="ctr"/>
        <c:lblOffset val="100"/>
        <c:noMultiLvlLbl val="0"/>
      </c:catAx>
      <c:valAx>
        <c:axId val="1129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Values</a:t>
                </a:r>
              </a:p>
            </c:rich>
          </c:tx>
          <c:overlay val="0"/>
        </c:title>
        <c:numFmt formatCode="#,##0_);\(#,##0\)" sourceLinked="1"/>
        <c:majorTickMark val="none"/>
        <c:minorTickMark val="none"/>
        <c:tickLblPos val="nextTo"/>
        <c:crossAx val="112976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Cattle</a:t>
            </a:r>
            <a:r>
              <a:rPr lang="en-BZ" baseline="0"/>
              <a:t> production and income from 2008- 2020 </a:t>
            </a:r>
            <a:endParaRPr lang="en-B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'Agriculture Prod 2008 - 2020'!$A$40</c:f>
              <c:strCache>
                <c:ptCount val="1"/>
                <c:pt idx="0">
                  <c:v>Cattle: No. slaughtered (#)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2008 - 2020'!$B$40:$N$40</c:f>
              <c:numCache>
                <c:formatCode>#,##0_);\(#,##0\)</c:formatCode>
                <c:ptCount val="13"/>
                <c:pt idx="0">
                  <c:v>8401</c:v>
                </c:pt>
                <c:pt idx="1">
                  <c:v>7961</c:v>
                </c:pt>
                <c:pt idx="2">
                  <c:v>7414</c:v>
                </c:pt>
                <c:pt idx="3">
                  <c:v>7861</c:v>
                </c:pt>
                <c:pt idx="4">
                  <c:v>8157</c:v>
                </c:pt>
                <c:pt idx="5">
                  <c:v>9052</c:v>
                </c:pt>
                <c:pt idx="6">
                  <c:v>7588</c:v>
                </c:pt>
                <c:pt idx="7">
                  <c:v>7834</c:v>
                </c:pt>
                <c:pt idx="8" formatCode="0_);\(0\)">
                  <c:v>7093</c:v>
                </c:pt>
                <c:pt idx="9" formatCode="0_);\(0\)">
                  <c:v>7268</c:v>
                </c:pt>
                <c:pt idx="10">
                  <c:v>8736</c:v>
                </c:pt>
                <c:pt idx="11">
                  <c:v>8539</c:v>
                </c:pt>
                <c:pt idx="12">
                  <c:v>7733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4-4E00-87F0-8A0F7889B1C9}"/>
            </c:ext>
          </c:extLst>
        </c:ser>
        <c:ser>
          <c:idx val="0"/>
          <c:order val="1"/>
          <c:tx>
            <c:strRef>
              <c:f>'Agriculture Prod 2008 - 2020'!$A$41</c:f>
              <c:strCache>
                <c:ptCount val="1"/>
                <c:pt idx="0">
                  <c:v>Cattle: dressed weight ('000 pounds)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2008 - 2020'!$B$41:$N$41</c:f>
              <c:numCache>
                <c:formatCode>#,##0_);\(#,##0\)</c:formatCode>
                <c:ptCount val="13"/>
                <c:pt idx="0">
                  <c:v>3780.45</c:v>
                </c:pt>
                <c:pt idx="1">
                  <c:v>3582.45</c:v>
                </c:pt>
                <c:pt idx="2">
                  <c:v>3336.48</c:v>
                </c:pt>
                <c:pt idx="3">
                  <c:v>3537.45</c:v>
                </c:pt>
                <c:pt idx="4">
                  <c:v>3670.65</c:v>
                </c:pt>
                <c:pt idx="5">
                  <c:v>4073.4</c:v>
                </c:pt>
                <c:pt idx="6">
                  <c:v>3414.6</c:v>
                </c:pt>
                <c:pt idx="7">
                  <c:v>3525.48</c:v>
                </c:pt>
                <c:pt idx="8" formatCode="0_);\(0\)">
                  <c:v>3191.8319999999999</c:v>
                </c:pt>
                <c:pt idx="9" formatCode="0_);\(0\)">
                  <c:v>3270.4560000000001</c:v>
                </c:pt>
                <c:pt idx="10">
                  <c:v>3931.2</c:v>
                </c:pt>
                <c:pt idx="11">
                  <c:v>3842.4960000000001</c:v>
                </c:pt>
                <c:pt idx="12">
                  <c:v>3479.85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6-4E26-BE1A-790C536FBEFF}"/>
            </c:ext>
          </c:extLst>
        </c:ser>
        <c:ser>
          <c:idx val="2"/>
          <c:order val="2"/>
          <c:tx>
            <c:strRef>
              <c:f>'Agriculture Prod 2008 - 2020'!$A$42</c:f>
              <c:strCache>
                <c:ptCount val="1"/>
                <c:pt idx="0">
                  <c:v> Income BZE$ ('000) 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2008 - 2020'!$B$42:$N$42</c:f>
              <c:numCache>
                <c:formatCode>_("$"* #,##0_);_("$"* \(#,##0\);_("$"* "-"??_);_(@_)</c:formatCode>
                <c:ptCount val="13"/>
                <c:pt idx="0">
                  <c:v>7371.8774999999996</c:v>
                </c:pt>
                <c:pt idx="1">
                  <c:v>7164.9</c:v>
                </c:pt>
                <c:pt idx="2">
                  <c:v>6672.96</c:v>
                </c:pt>
                <c:pt idx="3">
                  <c:v>7959.2624999999998</c:v>
                </c:pt>
                <c:pt idx="4">
                  <c:v>11011.95</c:v>
                </c:pt>
                <c:pt idx="5">
                  <c:v>14256.9</c:v>
                </c:pt>
                <c:pt idx="6">
                  <c:v>11951.1</c:v>
                </c:pt>
                <c:pt idx="7">
                  <c:v>14101.92</c:v>
                </c:pt>
                <c:pt idx="8">
                  <c:v>11969.369999999999</c:v>
                </c:pt>
                <c:pt idx="9">
                  <c:v>12264.210000000001</c:v>
                </c:pt>
                <c:pt idx="10">
                  <c:v>14742</c:v>
                </c:pt>
                <c:pt idx="11">
                  <c:v>14409.36</c:v>
                </c:pt>
                <c:pt idx="12">
                  <c:v>13049.4375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6-4E26-BE1A-790C536FB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20768"/>
        <c:axId val="136722304"/>
      </c:barChart>
      <c:catAx>
        <c:axId val="136720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6722304"/>
        <c:crosses val="autoZero"/>
        <c:auto val="1"/>
        <c:lblAlgn val="ctr"/>
        <c:lblOffset val="100"/>
        <c:noMultiLvlLbl val="0"/>
      </c:catAx>
      <c:valAx>
        <c:axId val="136722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production</a:t>
                </a:r>
                <a:r>
                  <a:rPr lang="en-BZ" baseline="0"/>
                  <a:t> quantities </a:t>
                </a:r>
                <a:endParaRPr lang="en-BZ"/>
              </a:p>
            </c:rich>
          </c:tx>
          <c:overlay val="0"/>
        </c:title>
        <c:numFmt formatCode="#,##0_);\(#,##0\)" sourceLinked="1"/>
        <c:majorTickMark val="none"/>
        <c:minorTickMark val="none"/>
        <c:tickLblPos val="nextTo"/>
        <c:crossAx val="136720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Cattle</a:t>
            </a:r>
            <a:r>
              <a:rPr lang="en-BZ" baseline="0"/>
              <a:t> Export figures and income for 2015 -2020  </a:t>
            </a:r>
            <a:endParaRPr lang="en-B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'cattle '!$I$5</c:f>
              <c:strCache>
                <c:ptCount val="1"/>
                <c:pt idx="0">
                  <c:v>Cattle (on Hoof)</c:v>
                </c:pt>
              </c:strCache>
            </c:strRef>
          </c:tx>
          <c:invertIfNegative val="0"/>
          <c:cat>
            <c:numRef>
              <c:f>'cattle '!$J$4:$O$4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'cattle '!$J$5:$O$5</c:f>
              <c:numCache>
                <c:formatCode>_(* #,##0_);_(* \(#,##0\);_(* "-"??_);_(@_)</c:formatCode>
                <c:ptCount val="6"/>
                <c:pt idx="0">
                  <c:v>8845</c:v>
                </c:pt>
                <c:pt idx="1">
                  <c:v>12204</c:v>
                </c:pt>
                <c:pt idx="2">
                  <c:v>16750</c:v>
                </c:pt>
                <c:pt idx="3">
                  <c:v>19594</c:v>
                </c:pt>
                <c:pt idx="4">
                  <c:v>30701</c:v>
                </c:pt>
                <c:pt idx="5">
                  <c:v>22713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4-4730-8CB7-C743F70B0CC9}"/>
            </c:ext>
          </c:extLst>
        </c:ser>
        <c:ser>
          <c:idx val="1"/>
          <c:order val="1"/>
          <c:tx>
            <c:strRef>
              <c:f>'cattle '!$I$6</c:f>
              <c:strCache>
                <c:ptCount val="1"/>
                <c:pt idx="0">
                  <c:v>Catttle Income $BZ ('000)</c:v>
                </c:pt>
              </c:strCache>
            </c:strRef>
          </c:tx>
          <c:invertIfNegative val="0"/>
          <c:cat>
            <c:numRef>
              <c:f>'cattle '!$J$4:$O$4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'cattle '!$J$6:$O$6</c:f>
              <c:numCache>
                <c:formatCode>_(* #,##0_);_(* \(#,##0\);_(* "-"??_);_(@_)</c:formatCode>
                <c:ptCount val="6"/>
                <c:pt idx="0">
                  <c:v>9066</c:v>
                </c:pt>
                <c:pt idx="1">
                  <c:v>12509.1</c:v>
                </c:pt>
                <c:pt idx="2">
                  <c:v>17168.75</c:v>
                </c:pt>
                <c:pt idx="3">
                  <c:v>20084</c:v>
                </c:pt>
                <c:pt idx="4">
                  <c:v>31468.525000000001</c:v>
                </c:pt>
                <c:pt idx="5">
                  <c:v>23280.825000000001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D-4879-A473-3358EFDA5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65440"/>
        <c:axId val="136766976"/>
      </c:barChart>
      <c:catAx>
        <c:axId val="13676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6766976"/>
        <c:crosses val="autoZero"/>
        <c:auto val="1"/>
        <c:lblAlgn val="ctr"/>
        <c:lblOffset val="100"/>
        <c:noMultiLvlLbl val="0"/>
      </c:catAx>
      <c:valAx>
        <c:axId val="136766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Values</a:t>
                </a:r>
                <a:r>
                  <a:rPr lang="en-BZ" baseline="0"/>
                  <a:t> </a:t>
                </a:r>
                <a:endParaRPr lang="en-BZ"/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367654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Soybean</a:t>
            </a:r>
            <a:r>
              <a:rPr lang="en-BZ" baseline="0"/>
              <a:t> production and income from 2008 -2020 </a:t>
            </a:r>
          </a:p>
          <a:p>
            <a:pPr>
              <a:defRPr/>
            </a:pPr>
            <a:r>
              <a:rPr lang="en-BZ" baseline="0"/>
              <a:t>  </a:t>
            </a:r>
            <a:endParaRPr lang="en-B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Prod 2008 - 2020'!$A$24</c:f>
              <c:strCache>
                <c:ptCount val="1"/>
                <c:pt idx="0">
                  <c:v>Soybeans ('000 pounds) 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2008 - 2020'!$B$24:$N$24</c:f>
              <c:numCache>
                <c:formatCode>_(* #,##0_);_(* \(#,##0\);_(* "-"??_);_(@_)</c:formatCode>
                <c:ptCount val="13"/>
                <c:pt idx="0">
                  <c:v>54</c:v>
                </c:pt>
                <c:pt idx="1">
                  <c:v>1290</c:v>
                </c:pt>
                <c:pt idx="2">
                  <c:v>2902</c:v>
                </c:pt>
                <c:pt idx="3">
                  <c:v>1313</c:v>
                </c:pt>
                <c:pt idx="4">
                  <c:v>2331</c:v>
                </c:pt>
                <c:pt idx="5">
                  <c:v>9284</c:v>
                </c:pt>
                <c:pt idx="6">
                  <c:v>8547</c:v>
                </c:pt>
                <c:pt idx="7">
                  <c:v>11240</c:v>
                </c:pt>
                <c:pt idx="8">
                  <c:v>17149.73</c:v>
                </c:pt>
                <c:pt idx="9">
                  <c:v>28740.49</c:v>
                </c:pt>
                <c:pt idx="10" formatCode="#,##0_);\(#,##0\)">
                  <c:v>25961.386999999999</c:v>
                </c:pt>
                <c:pt idx="11" formatCode="#,##0_);\(#,##0\)">
                  <c:v>17238.377</c:v>
                </c:pt>
                <c:pt idx="12" formatCode="#,##0_);\(#,##0\)">
                  <c:v>30136.746999999999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1-46AB-8DBF-98F2C3D2C2CE}"/>
            </c:ext>
          </c:extLst>
        </c:ser>
        <c:ser>
          <c:idx val="1"/>
          <c:order val="1"/>
          <c:tx>
            <c:strRef>
              <c:f>'Agriculture Prod 2008 - 2020'!$A$25</c:f>
              <c:strCache>
                <c:ptCount val="1"/>
                <c:pt idx="0">
                  <c:v>Income BZE$ ('000)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2008 - 2020'!$B$25:$N$25</c:f>
              <c:numCache>
                <c:formatCode>_("$"* #,##0_);_("$"* \(#,##0\);_("$"* "-"??_);_(@_)</c:formatCode>
                <c:ptCount val="13"/>
                <c:pt idx="0">
                  <c:v>18.360000000000003</c:v>
                </c:pt>
                <c:pt idx="1">
                  <c:v>438.6</c:v>
                </c:pt>
                <c:pt idx="2">
                  <c:v>986.68000000000006</c:v>
                </c:pt>
                <c:pt idx="3">
                  <c:v>446.42</c:v>
                </c:pt>
                <c:pt idx="4">
                  <c:v>1864.8000000000002</c:v>
                </c:pt>
                <c:pt idx="5">
                  <c:v>7891.4</c:v>
                </c:pt>
                <c:pt idx="6">
                  <c:v>3418.8</c:v>
                </c:pt>
                <c:pt idx="7">
                  <c:v>5282.7999999999993</c:v>
                </c:pt>
                <c:pt idx="8">
                  <c:v>8574.8649999999998</c:v>
                </c:pt>
                <c:pt idx="9">
                  <c:v>12933.220500000001</c:v>
                </c:pt>
                <c:pt idx="10">
                  <c:v>11682.62415</c:v>
                </c:pt>
                <c:pt idx="11">
                  <c:v>7412.5021100000004</c:v>
                </c:pt>
                <c:pt idx="12">
                  <c:v>14465.638559999999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E-47DE-A0A6-8CD4D0F33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18688"/>
        <c:axId val="136820224"/>
      </c:barChart>
      <c:catAx>
        <c:axId val="13681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6820224"/>
        <c:crosses val="autoZero"/>
        <c:auto val="1"/>
        <c:lblAlgn val="ctr"/>
        <c:lblOffset val="100"/>
        <c:noMultiLvlLbl val="0"/>
      </c:catAx>
      <c:valAx>
        <c:axId val="136820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volumes</a:t>
                </a:r>
                <a:r>
                  <a:rPr lang="en-BZ" baseline="0"/>
                  <a:t> </a:t>
                </a:r>
                <a:endParaRPr lang="en-BZ"/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36818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 baseline="0"/>
              <a:t>Black Eye Peas Production 2008 -2020 </a:t>
            </a:r>
          </a:p>
          <a:p>
            <a:pPr>
              <a:defRPr/>
            </a:pPr>
            <a:r>
              <a:rPr lang="en-BZ" baseline="0"/>
              <a:t> </a:t>
            </a:r>
            <a:endParaRPr lang="en-B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Prod 2008 - 2020'!$B$4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2008 - 2020'!$B$27:$B$28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6761.7</c:v>
                </c:pt>
                <c:pt idx="1">
                  <c:v>3042.7649999999999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1-408E-BE50-8E9CABC9986E}"/>
            </c:ext>
          </c:extLst>
        </c:ser>
        <c:ser>
          <c:idx val="1"/>
          <c:order val="1"/>
          <c:tx>
            <c:strRef>
              <c:f>'Agriculture Prod 2008 - 2020'!$C$4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2008 - 2020'!$C$27:$C$28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8097.7</c:v>
                </c:pt>
                <c:pt idx="1">
                  <c:v>6073.2749999999996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1-408E-BE50-8E9CABC9986E}"/>
            </c:ext>
          </c:extLst>
        </c:ser>
        <c:ser>
          <c:idx val="2"/>
          <c:order val="2"/>
          <c:tx>
            <c:strRef>
              <c:f>'Agriculture Prod 2008 - 2020'!$D$4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2008 - 2020'!$D$27:$D$28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5904.2</c:v>
                </c:pt>
                <c:pt idx="1">
                  <c:v>4723.3599999999997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1-408E-BE50-8E9CABC9986E}"/>
            </c:ext>
          </c:extLst>
        </c:ser>
        <c:ser>
          <c:idx val="3"/>
          <c:order val="3"/>
          <c:tx>
            <c:strRef>
              <c:f>'Agriculture Prod 2008 - 2020'!$E$4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2008 - 2020'!$E$27:$E$28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7021.4</c:v>
                </c:pt>
                <c:pt idx="1">
                  <c:v>6319.26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81-408E-BE50-8E9CABC9986E}"/>
            </c:ext>
          </c:extLst>
        </c:ser>
        <c:ser>
          <c:idx val="4"/>
          <c:order val="4"/>
          <c:tx>
            <c:strRef>
              <c:f>'Agriculture Prod 2008 - 2020'!$F$4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2008 - 2020'!$F$27:$F$28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5997</c:v>
                </c:pt>
                <c:pt idx="1">
                  <c:v>5697.15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81-408E-BE50-8E9CABC9986E}"/>
            </c:ext>
          </c:extLst>
        </c:ser>
        <c:ser>
          <c:idx val="5"/>
          <c:order val="5"/>
          <c:tx>
            <c:strRef>
              <c:f>'Agriculture Prod 2008 - 2020'!$G$4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2008 - 2020'!$G$27:$G$28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6447.1</c:v>
                </c:pt>
                <c:pt idx="1">
                  <c:v>6447.1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81-408E-BE50-8E9CABC9986E}"/>
            </c:ext>
          </c:extLst>
        </c:ser>
        <c:ser>
          <c:idx val="6"/>
          <c:order val="6"/>
          <c:tx>
            <c:strRef>
              <c:f>'Agriculture Prod 2008 - 2020'!$H$4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2008 - 2020'!$H$27:$H$28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4478.6000000000004</c:v>
                </c:pt>
                <c:pt idx="1">
                  <c:v>6447.1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81-408E-BE50-8E9CABC9986E}"/>
            </c:ext>
          </c:extLst>
        </c:ser>
        <c:ser>
          <c:idx val="7"/>
          <c:order val="7"/>
          <c:tx>
            <c:strRef>
              <c:f>'Agriculture Prod 2008 - 2020'!$I$4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2008 - 2020'!$I$27:$I$28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5958.8</c:v>
                </c:pt>
                <c:pt idx="1">
                  <c:v>5362.92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81-408E-BE50-8E9CABC9986E}"/>
            </c:ext>
          </c:extLst>
        </c:ser>
        <c:ser>
          <c:idx val="8"/>
          <c:order val="8"/>
          <c:tx>
            <c:strRef>
              <c:f>'Agriculture Prod 2008 - 2020'!$J$4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2008 - 2020'!$J$27:$J$28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9075.2999999999993</c:v>
                </c:pt>
                <c:pt idx="1">
                  <c:v>4537.6499999999996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81-408E-BE50-8E9CABC9986E}"/>
            </c:ext>
          </c:extLst>
        </c:ser>
        <c:ser>
          <c:idx val="9"/>
          <c:order val="9"/>
          <c:tx>
            <c:strRef>
              <c:f>'Agriculture Prod 2008 - 2020'!$K$4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2008 - 2020'!$K$27:$K$28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3681.2</c:v>
                </c:pt>
                <c:pt idx="1">
                  <c:v>2503.2159999999999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81-408E-BE50-8E9CABC9986E}"/>
            </c:ext>
          </c:extLst>
        </c:ser>
        <c:ser>
          <c:idx val="10"/>
          <c:order val="10"/>
          <c:tx>
            <c:strRef>
              <c:f>'Agriculture Prod 2008 - 2020'!$N$4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'Agriculture Prod 2008 - 2020'!$A$27:$A$28</c:f>
              <c:strCache>
                <c:ptCount val="2"/>
                <c:pt idx="0">
                  <c:v>Black eye peas ('000 pounds) </c:v>
                </c:pt>
                <c:pt idx="1">
                  <c:v>Income BZE$ ('000)</c:v>
                </c:pt>
              </c:strCache>
            </c:strRef>
          </c:cat>
          <c:val>
            <c:numRef>
              <c:f>'Agriculture Prod 2008 - 2020'!$N$27:$N$28</c:f>
              <c:numCache>
                <c:formatCode>_("$"* #,##0_);_("$"* \(#,##0\);_("$"* "-"??_);_(@_)</c:formatCode>
                <c:ptCount val="2"/>
                <c:pt idx="0" formatCode="_(* #,##0_);_(* \(#,##0\);_(* &quot;-&quot;??_);_(@_)">
                  <c:v>5775</c:v>
                </c:pt>
                <c:pt idx="1">
                  <c:v>5486.25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1-491D-8D2D-9DAC9964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06080"/>
        <c:axId val="137024256"/>
      </c:barChart>
      <c:catAx>
        <c:axId val="137006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7024256"/>
        <c:crosses val="autoZero"/>
        <c:auto val="1"/>
        <c:lblAlgn val="ctr"/>
        <c:lblOffset val="100"/>
        <c:noMultiLvlLbl val="0"/>
      </c:catAx>
      <c:valAx>
        <c:axId val="137024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Volumes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370060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Grains</a:t>
            </a:r>
            <a:r>
              <a:rPr lang="en-BZ" baseline="0"/>
              <a:t>  and Cocoa  production  from 2006-2015 </a:t>
            </a:r>
            <a:endParaRPr lang="en-B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Prod 2008 - 2018'!#REF!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1-4F87-A0D5-5F2613AC721E}"/>
            </c:ext>
          </c:extLst>
        </c:ser>
        <c:ser>
          <c:idx val="1"/>
          <c:order val="1"/>
          <c:tx>
            <c:strRef>
              <c:f>'Agriculture Prod 2008 - 2018'!#REF!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1-4F87-A0D5-5F2613AC721E}"/>
            </c:ext>
          </c:extLst>
        </c:ser>
        <c:ser>
          <c:idx val="2"/>
          <c:order val="2"/>
          <c:tx>
            <c:strRef>
              <c:f>'Agriculture Prod 2008 - 2020'!$B$4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2008 - 2020'!$B$18:$B$35</c:f>
              <c:numCache>
                <c:formatCode>_("$"* #,##0_);_("$"* \(#,##0\);_("$"* "-"??_);_(@_)</c:formatCode>
                <c:ptCount val="18"/>
                <c:pt idx="0" formatCode="#,##0_);\(#,##0\)">
                  <c:v>81684</c:v>
                </c:pt>
                <c:pt idx="1">
                  <c:v>22054.68</c:v>
                </c:pt>
                <c:pt idx="3" formatCode="#,##0_);\(#,##0\)">
                  <c:v>25971</c:v>
                </c:pt>
                <c:pt idx="4">
                  <c:v>6492.75</c:v>
                </c:pt>
                <c:pt idx="6" formatCode="_(* #,##0_);_(* \(#,##0\);_(* &quot;-&quot;??_);_(@_)">
                  <c:v>54</c:v>
                </c:pt>
                <c:pt idx="7">
                  <c:v>18.360000000000003</c:v>
                </c:pt>
                <c:pt idx="9" formatCode="_(* #,##0_);_(* \(#,##0\);_(* &quot;-&quot;??_);_(@_)">
                  <c:v>6761.7</c:v>
                </c:pt>
                <c:pt idx="10">
                  <c:v>3042.7649999999999</c:v>
                </c:pt>
                <c:pt idx="12" formatCode="_(* #,##0_);_(* \(#,##0\);_(* &quot;-&quot;??_);_(@_)">
                  <c:v>5533</c:v>
                </c:pt>
                <c:pt idx="13">
                  <c:v>6639.5999999999995</c:v>
                </c:pt>
                <c:pt idx="15" formatCode="_(* #,##0_);_(* \(#,##0\);_(* &quot;-&quot;??_);_(@_)">
                  <c:v>23567</c:v>
                </c:pt>
                <c:pt idx="16">
                  <c:v>4713.4000000000005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1-4F87-A0D5-5F2613AC721E}"/>
            </c:ext>
          </c:extLst>
        </c:ser>
        <c:ser>
          <c:idx val="3"/>
          <c:order val="3"/>
          <c:tx>
            <c:strRef>
              <c:f>'Agriculture Prod 2008 - 2020'!$C$4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2008 - 2020'!$C$18:$C$35</c:f>
              <c:numCache>
                <c:formatCode>_("$"* #,##0_);_("$"* \(#,##0\);_("$"* "-"??_);_(@_)</c:formatCode>
                <c:ptCount val="18"/>
                <c:pt idx="0" formatCode="#,##0_);\(#,##0\)">
                  <c:v>126400.995</c:v>
                </c:pt>
                <c:pt idx="1">
                  <c:v>34128.268649999998</c:v>
                </c:pt>
                <c:pt idx="3" formatCode="#,##0_);\(#,##0\)">
                  <c:v>45449</c:v>
                </c:pt>
                <c:pt idx="4">
                  <c:v>14998.17</c:v>
                </c:pt>
                <c:pt idx="6" formatCode="_(* #,##0_);_(* \(#,##0\);_(* &quot;-&quot;??_);_(@_)">
                  <c:v>1290</c:v>
                </c:pt>
                <c:pt idx="7">
                  <c:v>438.6</c:v>
                </c:pt>
                <c:pt idx="9" formatCode="_(* #,##0_);_(* \(#,##0\);_(* &quot;-&quot;??_);_(@_)">
                  <c:v>8097.7</c:v>
                </c:pt>
                <c:pt idx="10">
                  <c:v>6073.2749999999996</c:v>
                </c:pt>
                <c:pt idx="12" formatCode="_(* #,##0_);_(* \(#,##0\);_(* &quot;-&quot;??_);_(@_)">
                  <c:v>5874</c:v>
                </c:pt>
                <c:pt idx="13">
                  <c:v>8517.2999999999993</c:v>
                </c:pt>
                <c:pt idx="15" formatCode="_(* #,##0_);_(* \(#,##0\);_(* &quot;-&quot;??_);_(@_)">
                  <c:v>20560</c:v>
                </c:pt>
                <c:pt idx="16">
                  <c:v>5140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B1-4F87-A0D5-5F2613AC721E}"/>
            </c:ext>
          </c:extLst>
        </c:ser>
        <c:ser>
          <c:idx val="4"/>
          <c:order val="4"/>
          <c:tx>
            <c:strRef>
              <c:f>'Agriculture Prod 2008 - 2020'!$D$4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2008 - 2020'!$D$18:$D$35</c:f>
              <c:numCache>
                <c:formatCode>_("$"* #,##0_);_("$"* \(#,##0\);_("$"* "-"??_);_(@_)</c:formatCode>
                <c:ptCount val="18"/>
                <c:pt idx="0" formatCode="#,##0_);\(#,##0\)">
                  <c:v>127975</c:v>
                </c:pt>
                <c:pt idx="1">
                  <c:v>38392.5</c:v>
                </c:pt>
                <c:pt idx="3" formatCode="#,##0_);\(#,##0\)">
                  <c:v>45246</c:v>
                </c:pt>
                <c:pt idx="4">
                  <c:v>14931.18</c:v>
                </c:pt>
                <c:pt idx="6" formatCode="_(* #,##0_);_(* \(#,##0\);_(* &quot;-&quot;??_);_(@_)">
                  <c:v>2902</c:v>
                </c:pt>
                <c:pt idx="7">
                  <c:v>986.68000000000006</c:v>
                </c:pt>
                <c:pt idx="9" formatCode="_(* #,##0_);_(* \(#,##0\);_(* &quot;-&quot;??_);_(@_)">
                  <c:v>5904.2</c:v>
                </c:pt>
                <c:pt idx="10">
                  <c:v>4723.3599999999997</c:v>
                </c:pt>
                <c:pt idx="12" formatCode="_(* #,##0_);_(* \(#,##0\);_(* &quot;-&quot;??_);_(@_)">
                  <c:v>14573</c:v>
                </c:pt>
                <c:pt idx="13">
                  <c:v>21130.85</c:v>
                </c:pt>
                <c:pt idx="15" formatCode="_(* #,##0_);_(* \(#,##0\);_(* &quot;-&quot;??_);_(@_)">
                  <c:v>43908</c:v>
                </c:pt>
                <c:pt idx="16">
                  <c:v>10977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B1-4F87-A0D5-5F2613AC721E}"/>
            </c:ext>
          </c:extLst>
        </c:ser>
        <c:ser>
          <c:idx val="5"/>
          <c:order val="5"/>
          <c:tx>
            <c:strRef>
              <c:f>'Agriculture Prod 2008 - 2020'!$E$4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2008 - 2020'!$E$18:$E$35</c:f>
              <c:numCache>
                <c:formatCode>_("$"* #,##0_);_("$"* \(#,##0\);_("$"* "-"??_);_(@_)</c:formatCode>
                <c:ptCount val="18"/>
                <c:pt idx="0" formatCode="_(* #,##0_);_(* \(#,##0\);_(* &quot;-&quot;??_);_(@_)">
                  <c:v>138241</c:v>
                </c:pt>
                <c:pt idx="1">
                  <c:v>41472.299999999996</c:v>
                </c:pt>
                <c:pt idx="3" formatCode="#,##0_);\(#,##0\)">
                  <c:v>42068</c:v>
                </c:pt>
                <c:pt idx="4">
                  <c:v>13882.44</c:v>
                </c:pt>
                <c:pt idx="6" formatCode="_(* #,##0_);_(* \(#,##0\);_(* &quot;-&quot;??_);_(@_)">
                  <c:v>1313</c:v>
                </c:pt>
                <c:pt idx="7">
                  <c:v>446.42</c:v>
                </c:pt>
                <c:pt idx="9" formatCode="_(* #,##0_);_(* \(#,##0\);_(* &quot;-&quot;??_);_(@_)">
                  <c:v>7021.4</c:v>
                </c:pt>
                <c:pt idx="10">
                  <c:v>6319.26</c:v>
                </c:pt>
                <c:pt idx="12" formatCode="_(* #,##0_);_(* \(#,##0\);_(* &quot;-&quot;??_);_(@_)">
                  <c:v>8167</c:v>
                </c:pt>
                <c:pt idx="13">
                  <c:v>11842.15</c:v>
                </c:pt>
                <c:pt idx="15" formatCode="_(* #,##0_);_(* \(#,##0\);_(* &quot;-&quot;??_);_(@_)">
                  <c:v>22004</c:v>
                </c:pt>
                <c:pt idx="16">
                  <c:v>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B1-4F87-A0D5-5F2613AC721E}"/>
            </c:ext>
          </c:extLst>
        </c:ser>
        <c:ser>
          <c:idx val="6"/>
          <c:order val="6"/>
          <c:tx>
            <c:strRef>
              <c:f>'Agriculture Prod 2008 - 2020'!$F$4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2008 - 2020'!$F$18:$F$35</c:f>
              <c:numCache>
                <c:formatCode>_("$"* #,##0_);_("$"* \(#,##0\);_("$"* "-"??_);_(@_)</c:formatCode>
                <c:ptCount val="18"/>
                <c:pt idx="0" formatCode="_(* #,##0_);_(* \(#,##0\);_(* &quot;-&quot;??_);_(@_)">
                  <c:v>139929.97700000001</c:v>
                </c:pt>
                <c:pt idx="1">
                  <c:v>37781.093790000006</c:v>
                </c:pt>
                <c:pt idx="3" formatCode="#,##0_);\(#,##0\)">
                  <c:v>27155.356</c:v>
                </c:pt>
                <c:pt idx="4">
                  <c:v>6788.8389999999999</c:v>
                </c:pt>
                <c:pt idx="6" formatCode="_(* #,##0_);_(* \(#,##0\);_(* &quot;-&quot;??_);_(@_)">
                  <c:v>2331</c:v>
                </c:pt>
                <c:pt idx="7">
                  <c:v>1864.8000000000002</c:v>
                </c:pt>
                <c:pt idx="9" formatCode="_(* #,##0_);_(* \(#,##0\);_(* &quot;-&quot;??_);_(@_)">
                  <c:v>5997</c:v>
                </c:pt>
                <c:pt idx="10">
                  <c:v>5697.15</c:v>
                </c:pt>
                <c:pt idx="12" formatCode="_(* #,##0_);_(* \(#,##0\);_(* &quot;-&quot;??_);_(@_)">
                  <c:v>13318</c:v>
                </c:pt>
                <c:pt idx="13">
                  <c:v>11986.2</c:v>
                </c:pt>
                <c:pt idx="15" formatCode="_(* #,##0_);_(* \(#,##0\);_(* &quot;-&quot;??_);_(@_)">
                  <c:v>34914</c:v>
                </c:pt>
                <c:pt idx="16">
                  <c:v>8728.5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B1-4F87-A0D5-5F2613AC721E}"/>
            </c:ext>
          </c:extLst>
        </c:ser>
        <c:ser>
          <c:idx val="7"/>
          <c:order val="7"/>
          <c:tx>
            <c:strRef>
              <c:f>'Agriculture Prod 2008 - 2020'!$G$4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2008 - 2020'!$G$18:$G$35</c:f>
              <c:numCache>
                <c:formatCode>_("$"* #,##0_);_("$"* \(#,##0\);_("$"* "-"??_);_(@_)</c:formatCode>
                <c:ptCount val="18"/>
                <c:pt idx="0" formatCode="_(* #,##0_);_(* \(#,##0\);_(* &quot;-&quot;??_);_(@_)">
                  <c:v>158567.443</c:v>
                </c:pt>
                <c:pt idx="1">
                  <c:v>47570.232899999995</c:v>
                </c:pt>
                <c:pt idx="3" formatCode="#,##0_);\(#,##0\)">
                  <c:v>45205.451999999997</c:v>
                </c:pt>
                <c:pt idx="4">
                  <c:v>13561.6356</c:v>
                </c:pt>
                <c:pt idx="6" formatCode="_(* #,##0_);_(* \(#,##0\);_(* &quot;-&quot;??_);_(@_)">
                  <c:v>9284</c:v>
                </c:pt>
                <c:pt idx="7">
                  <c:v>7891.4</c:v>
                </c:pt>
                <c:pt idx="9" formatCode="_(* #,##0_);_(* \(#,##0\);_(* &quot;-&quot;??_);_(@_)">
                  <c:v>6447.1</c:v>
                </c:pt>
                <c:pt idx="10">
                  <c:v>6447.1</c:v>
                </c:pt>
                <c:pt idx="12" formatCode="_(* #,##0_);_(* \(#,##0\);_(* &quot;-&quot;??_);_(@_)">
                  <c:v>12479</c:v>
                </c:pt>
                <c:pt idx="13">
                  <c:v>9983.2000000000007</c:v>
                </c:pt>
                <c:pt idx="15" formatCode="_(* #,##0_);_(* \(#,##0\);_(* &quot;-&quot;??_);_(@_)">
                  <c:v>42995</c:v>
                </c:pt>
                <c:pt idx="16">
                  <c:v>12898.5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B1-4F87-A0D5-5F2613AC721E}"/>
            </c:ext>
          </c:extLst>
        </c:ser>
        <c:ser>
          <c:idx val="8"/>
          <c:order val="8"/>
          <c:tx>
            <c:strRef>
              <c:f>'Agriculture Prod 2008 - 2020'!$H$4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2008 - 2020'!$H$18:$H$35</c:f>
              <c:numCache>
                <c:formatCode>_("$"* #,##0_);_("$"* \(#,##0\);_("$"* "-"??_);_(@_)</c:formatCode>
                <c:ptCount val="18"/>
                <c:pt idx="0" formatCode="_(* #,##0_);_(* \(#,##0\);_(* &quot;-&quot;??_);_(@_)">
                  <c:v>152490.63500000001</c:v>
                </c:pt>
                <c:pt idx="1">
                  <c:v>45747.190500000004</c:v>
                </c:pt>
                <c:pt idx="3" formatCode="#,##0_);\(#,##0\)">
                  <c:v>35845.114999999998</c:v>
                </c:pt>
                <c:pt idx="4">
                  <c:v>14338.046</c:v>
                </c:pt>
                <c:pt idx="6" formatCode="_(* #,##0_);_(* \(#,##0\);_(* &quot;-&quot;??_);_(@_)">
                  <c:v>8547</c:v>
                </c:pt>
                <c:pt idx="7">
                  <c:v>3418.8</c:v>
                </c:pt>
                <c:pt idx="9" formatCode="_(* #,##0_);_(* \(#,##0\);_(* &quot;-&quot;??_);_(@_)">
                  <c:v>4478.6000000000004</c:v>
                </c:pt>
                <c:pt idx="10">
                  <c:v>6447.1</c:v>
                </c:pt>
                <c:pt idx="12" formatCode="_(* #,##0_);_(* \(#,##0\);_(* &quot;-&quot;??_);_(@_)">
                  <c:v>10340</c:v>
                </c:pt>
                <c:pt idx="13">
                  <c:v>8789</c:v>
                </c:pt>
                <c:pt idx="15" formatCode="_(* #,##0_);_(* \(#,##0\);_(* &quot;-&quot;??_);_(@_)">
                  <c:v>20043</c:v>
                </c:pt>
                <c:pt idx="16">
                  <c:v>6012.9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B1-4F87-A0D5-5F2613AC721E}"/>
            </c:ext>
          </c:extLst>
        </c:ser>
        <c:ser>
          <c:idx val="9"/>
          <c:order val="9"/>
          <c:tx>
            <c:strRef>
              <c:f>'Agriculture Prod 2008 - 2020'!$I$4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'Agriculture Prod 2008 - 2020'!$A$18:$A$35</c:f>
              <c:strCache>
                <c:ptCount val="17"/>
                <c:pt idx="0">
                  <c:v>Corn ('000 lbs)</c:v>
                </c:pt>
                <c:pt idx="1">
                  <c:v>Income BZE$ ('000)</c:v>
                </c:pt>
                <c:pt idx="3">
                  <c:v>Rice paddy ('000 pounds)</c:v>
                </c:pt>
                <c:pt idx="4">
                  <c:v> Income BZE$ ('000)  </c:v>
                </c:pt>
                <c:pt idx="6">
                  <c:v>Soybeans ('000 pounds) </c:v>
                </c:pt>
                <c:pt idx="7">
                  <c:v>Income BZE$ ('000)</c:v>
                </c:pt>
                <c:pt idx="9">
                  <c:v>Black eye peas ('000 pounds) </c:v>
                </c:pt>
                <c:pt idx="10">
                  <c:v>Income BZE$ ('000)</c:v>
                </c:pt>
                <c:pt idx="12">
                  <c:v>Red Kidney Beans ('000 pounds)</c:v>
                </c:pt>
                <c:pt idx="13">
                  <c:v> Income BZE$ ('000) </c:v>
                </c:pt>
                <c:pt idx="15">
                  <c:v>Sorghum ('000 pounds)</c:v>
                </c:pt>
                <c:pt idx="16">
                  <c:v>Income BZE$ ('000)</c:v>
                </c:pt>
              </c:strCache>
            </c:strRef>
          </c:cat>
          <c:val>
            <c:numRef>
              <c:f>'Agriculture Prod 2008 - 2020'!$I$18:$I$35</c:f>
              <c:numCache>
                <c:formatCode>_("$"* #,##0_);_("$"* \(#,##0\);_("$"* "-"??_);_(@_)</c:formatCode>
                <c:ptCount val="18"/>
                <c:pt idx="0" formatCode="_(* #,##0_);_(* \(#,##0\);_(* &quot;-&quot;??_);_(@_)">
                  <c:v>127209.413</c:v>
                </c:pt>
                <c:pt idx="1">
                  <c:v>38162.823899999996</c:v>
                </c:pt>
                <c:pt idx="3" formatCode="#,##0_);\(#,##0\)">
                  <c:v>27917.407999999999</c:v>
                </c:pt>
                <c:pt idx="4">
                  <c:v>12562.8336</c:v>
                </c:pt>
                <c:pt idx="6" formatCode="_(* #,##0_);_(* \(#,##0\);_(* &quot;-&quot;??_);_(@_)">
                  <c:v>11240</c:v>
                </c:pt>
                <c:pt idx="7">
                  <c:v>5282.7999999999993</c:v>
                </c:pt>
                <c:pt idx="9" formatCode="_(* #,##0_);_(* \(#,##0\);_(* &quot;-&quot;??_);_(@_)">
                  <c:v>5958.8</c:v>
                </c:pt>
                <c:pt idx="10">
                  <c:v>5362.92</c:v>
                </c:pt>
                <c:pt idx="12" formatCode="_(* #,##0_);_(* \(#,##0\);_(* &quot;-&quot;??_);_(@_)">
                  <c:v>21239</c:v>
                </c:pt>
                <c:pt idx="13">
                  <c:v>15929.25</c:v>
                </c:pt>
                <c:pt idx="15" formatCode="_(* #,##0_);_(* \(#,##0\);_(* &quot;-&quot;??_);_(@_)">
                  <c:v>23355</c:v>
                </c:pt>
                <c:pt idx="16">
                  <c:v>8174.2499999999991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B1-4F87-A0D5-5F2613AC7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98176"/>
        <c:axId val="88912256"/>
      </c:barChart>
      <c:catAx>
        <c:axId val="88898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8912256"/>
        <c:crosses val="autoZero"/>
        <c:auto val="1"/>
        <c:lblAlgn val="ctr"/>
        <c:lblOffset val="100"/>
        <c:noMultiLvlLbl val="0"/>
      </c:catAx>
      <c:valAx>
        <c:axId val="88912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Volumes</a:t>
                </a:r>
                <a:r>
                  <a:rPr lang="en-BZ" baseline="0"/>
                  <a:t> produced </a:t>
                </a:r>
                <a:endParaRPr lang="en-BZ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8898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Production</a:t>
            </a:r>
            <a:r>
              <a:rPr lang="en-BZ" baseline="0"/>
              <a:t> and income figures from 2008-2020 </a:t>
            </a:r>
            <a:endParaRPr lang="en-B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Prod 2008 - 2020'!$A$33</c:f>
              <c:strCache>
                <c:ptCount val="1"/>
                <c:pt idx="0">
                  <c:v>Sorghum ('000 pounds)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2008 - 2020'!$B$33:$N$33</c:f>
              <c:numCache>
                <c:formatCode>_(* #,##0_);_(* \(#,##0\);_(* "-"??_);_(@_)</c:formatCode>
                <c:ptCount val="13"/>
                <c:pt idx="0">
                  <c:v>23567</c:v>
                </c:pt>
                <c:pt idx="1">
                  <c:v>20560</c:v>
                </c:pt>
                <c:pt idx="2">
                  <c:v>43908</c:v>
                </c:pt>
                <c:pt idx="3">
                  <c:v>22004</c:v>
                </c:pt>
                <c:pt idx="4">
                  <c:v>34914</c:v>
                </c:pt>
                <c:pt idx="5">
                  <c:v>42995</c:v>
                </c:pt>
                <c:pt idx="6">
                  <c:v>20043</c:v>
                </c:pt>
                <c:pt idx="7">
                  <c:v>23355</c:v>
                </c:pt>
                <c:pt idx="8">
                  <c:v>21146.18</c:v>
                </c:pt>
                <c:pt idx="9">
                  <c:v>22242.9</c:v>
                </c:pt>
                <c:pt idx="10">
                  <c:v>18078.7</c:v>
                </c:pt>
                <c:pt idx="11">
                  <c:v>29024.1</c:v>
                </c:pt>
                <c:pt idx="12">
                  <c:v>32463.96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9DF-88B8-FC18A7E104B1}"/>
            </c:ext>
          </c:extLst>
        </c:ser>
        <c:ser>
          <c:idx val="1"/>
          <c:order val="1"/>
          <c:tx>
            <c:strRef>
              <c:f>'Agriculture Prod 2008 - 2020'!$A$34</c:f>
              <c:strCache>
                <c:ptCount val="1"/>
                <c:pt idx="0">
                  <c:v>Income BZE$ ('000)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2008 - 2020'!$B$34:$N$34</c:f>
              <c:numCache>
                <c:formatCode>_("$"* #,##0_);_("$"* \(#,##0\);_("$"* "-"??_);_(@_)</c:formatCode>
                <c:ptCount val="13"/>
                <c:pt idx="0">
                  <c:v>4713.4000000000005</c:v>
                </c:pt>
                <c:pt idx="1">
                  <c:v>5140</c:v>
                </c:pt>
                <c:pt idx="2">
                  <c:v>10977</c:v>
                </c:pt>
                <c:pt idx="3">
                  <c:v>5501</c:v>
                </c:pt>
                <c:pt idx="4">
                  <c:v>8728.5</c:v>
                </c:pt>
                <c:pt idx="5">
                  <c:v>12898.5</c:v>
                </c:pt>
                <c:pt idx="6">
                  <c:v>6012.9</c:v>
                </c:pt>
                <c:pt idx="7">
                  <c:v>8174.2499999999991</c:v>
                </c:pt>
                <c:pt idx="8">
                  <c:v>4652.1596</c:v>
                </c:pt>
                <c:pt idx="9">
                  <c:v>4003.7220000000002</c:v>
                </c:pt>
                <c:pt idx="10">
                  <c:v>4519.6750000000002</c:v>
                </c:pt>
                <c:pt idx="11">
                  <c:v>6385.3019999999997</c:v>
                </c:pt>
                <c:pt idx="12">
                  <c:v>7142.0711999999994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1-426F-B5A9-8E799379C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911872"/>
        <c:axId val="136925952"/>
      </c:barChart>
      <c:catAx>
        <c:axId val="1369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6925952"/>
        <c:crosses val="autoZero"/>
        <c:auto val="1"/>
        <c:lblAlgn val="ctr"/>
        <c:lblOffset val="100"/>
        <c:noMultiLvlLbl val="0"/>
      </c:catAx>
      <c:valAx>
        <c:axId val="136925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Values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36911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Papaya Export Earnings</a:t>
            </a:r>
            <a:r>
              <a:rPr lang="en-US" baseline="0"/>
              <a:t> from 2005 to 2020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papaya!$D$3</c:f>
              <c:strCache>
                <c:ptCount val="1"/>
                <c:pt idx="0">
                  <c:v>Papay Export Earnings (BZ$) Mil.</c:v>
                </c:pt>
              </c:strCache>
            </c:strRef>
          </c:tx>
          <c:invertIfNegative val="0"/>
          <c:cat>
            <c:numRef>
              <c:f>papaya!$E$2:$T$2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papaya!$E$3:$T$3</c:f>
              <c:numCache>
                <c:formatCode>#,##0_);\(#,##0\)</c:formatCode>
                <c:ptCount val="16"/>
                <c:pt idx="0">
                  <c:v>26.9</c:v>
                </c:pt>
                <c:pt idx="1">
                  <c:v>31</c:v>
                </c:pt>
                <c:pt idx="2">
                  <c:v>26.1</c:v>
                </c:pt>
                <c:pt idx="3">
                  <c:v>22.4</c:v>
                </c:pt>
                <c:pt idx="4">
                  <c:v>21.8</c:v>
                </c:pt>
                <c:pt idx="5">
                  <c:v>25.9</c:v>
                </c:pt>
                <c:pt idx="6">
                  <c:v>23</c:v>
                </c:pt>
                <c:pt idx="7">
                  <c:v>15.5</c:v>
                </c:pt>
                <c:pt idx="8">
                  <c:v>20.7</c:v>
                </c:pt>
                <c:pt idx="9">
                  <c:v>13.3</c:v>
                </c:pt>
                <c:pt idx="10">
                  <c:v>13.04</c:v>
                </c:pt>
                <c:pt idx="11">
                  <c:v>3.92</c:v>
                </c:pt>
                <c:pt idx="12">
                  <c:v>1.45</c:v>
                </c:pt>
                <c:pt idx="13">
                  <c:v>1.02</c:v>
                </c:pt>
                <c:pt idx="14">
                  <c:v>0.32</c:v>
                </c:pt>
                <c:pt idx="1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B-4DD7-A2CA-17960FA10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42176"/>
        <c:axId val="137060352"/>
      </c:barChart>
      <c:catAx>
        <c:axId val="13704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7060352"/>
        <c:crosses val="autoZero"/>
        <c:auto val="1"/>
        <c:lblAlgn val="ctr"/>
        <c:lblOffset val="100"/>
        <c:noMultiLvlLbl val="0"/>
      </c:catAx>
      <c:valAx>
        <c:axId val="137060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Earning (BZ$) Million </a:t>
                </a:r>
              </a:p>
            </c:rich>
          </c:tx>
          <c:overlay val="0"/>
        </c:title>
        <c:numFmt formatCode="#,##0_);\(#,##0\)" sourceLinked="1"/>
        <c:majorTickMark val="none"/>
        <c:minorTickMark val="none"/>
        <c:tickLblPos val="nextTo"/>
        <c:crossAx val="13704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Livestock</a:t>
            </a:r>
            <a:r>
              <a:rPr lang="en-BZ" baseline="0"/>
              <a:t> Production 2006-2015 </a:t>
            </a:r>
            <a:endParaRPr lang="en-BZ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784383332421215E-2"/>
          <c:y val="1.1852428683483043E-2"/>
          <c:w val="0.90521561666757999"/>
          <c:h val="0.32012002606549467"/>
        </c:manualLayout>
      </c:layout>
      <c:barChart>
        <c:barDir val="col"/>
        <c:grouping val="clustered"/>
        <c:varyColors val="0"/>
        <c:ser>
          <c:idx val="9"/>
          <c:order val="0"/>
          <c:tx>
            <c:strRef>
              <c:f>'Agriculture Prod 2008 - 2018'!#REF!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'Agriculture Prod 2008 - 2018'!#REF!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5-423C-94FD-184EE2578ED8}"/>
            </c:ext>
          </c:extLst>
        </c:ser>
        <c:ser>
          <c:idx val="0"/>
          <c:order val="1"/>
          <c:tx>
            <c:strRef>
              <c:f>'Agriculture Prod 2008 - 2018'!#REF!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'Agriculture Prod 2008 - 2020'!$A$40:$A$54</c:f>
              <c:strCache>
                <c:ptCount val="15"/>
                <c:pt idx="0">
                  <c:v>Cattle: No. slaughtered (#)</c:v>
                </c:pt>
                <c:pt idx="1">
                  <c:v>Cattle: dressed weight ('000 pounds)</c:v>
                </c:pt>
                <c:pt idx="2">
                  <c:v> Income BZE$ ('000) </c:v>
                </c:pt>
                <c:pt idx="4">
                  <c:v>Pigs  :No. slaughtered (#)</c:v>
                </c:pt>
                <c:pt idx="5">
                  <c:v>            Pigs  :Dressed weight ('000 pounds)</c:v>
                </c:pt>
                <c:pt idx="6">
                  <c:v> Income BZE$ ('000) </c:v>
                </c:pt>
                <c:pt idx="8">
                  <c:v>Poultry No. slaughtered ('000 units)</c:v>
                </c:pt>
                <c:pt idx="9">
                  <c:v>Poultry dressed weight ('000 pounds)</c:v>
                </c:pt>
                <c:pt idx="10">
                  <c:v> Income $BZ ('000) </c:v>
                </c:pt>
                <c:pt idx="12">
                  <c:v>Milk        ('000 pounds)</c:v>
                </c:pt>
                <c:pt idx="13">
                  <c:v>Honey     ('000 pounds)</c:v>
                </c:pt>
                <c:pt idx="14">
                  <c:v>Eggs       ('000 dozen)</c:v>
                </c:pt>
              </c:strCache>
            </c:strRef>
          </c:cat>
          <c:val>
            <c:numRef>
              <c:f>'Agriculture Prod 2008 - 2018'!#REF!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5-423C-94FD-184EE2578ED8}"/>
            </c:ext>
          </c:extLst>
        </c:ser>
        <c:ser>
          <c:idx val="1"/>
          <c:order val="2"/>
          <c:tx>
            <c:strRef>
              <c:f>'Agriculture Prod 2008 - 2020'!$B$4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'Agriculture Prod 2008 - 2020'!$A$40:$A$54</c:f>
              <c:strCache>
                <c:ptCount val="15"/>
                <c:pt idx="0">
                  <c:v>Cattle: No. slaughtered (#)</c:v>
                </c:pt>
                <c:pt idx="1">
                  <c:v>Cattle: dressed weight ('000 pounds)</c:v>
                </c:pt>
                <c:pt idx="2">
                  <c:v> Income BZE$ ('000) </c:v>
                </c:pt>
                <c:pt idx="4">
                  <c:v>Pigs  :No. slaughtered (#)</c:v>
                </c:pt>
                <c:pt idx="5">
                  <c:v>            Pigs  :Dressed weight ('000 pounds)</c:v>
                </c:pt>
                <c:pt idx="6">
                  <c:v> Income BZE$ ('000) </c:v>
                </c:pt>
                <c:pt idx="8">
                  <c:v>Poultry No. slaughtered ('000 units)</c:v>
                </c:pt>
                <c:pt idx="9">
                  <c:v>Poultry dressed weight ('000 pounds)</c:v>
                </c:pt>
                <c:pt idx="10">
                  <c:v> Income $BZ ('000) </c:v>
                </c:pt>
                <c:pt idx="12">
                  <c:v>Milk        ('000 pounds)</c:v>
                </c:pt>
                <c:pt idx="13">
                  <c:v>Honey     ('000 pounds)</c:v>
                </c:pt>
                <c:pt idx="14">
                  <c:v>Eggs       ('000 dozen)</c:v>
                </c:pt>
              </c:strCache>
            </c:strRef>
          </c:cat>
          <c:val>
            <c:numRef>
              <c:f>'Agriculture Prod 2008 - 2020'!$B$40:$B$54</c:f>
              <c:numCache>
                <c:formatCode>#,##0_);\(#,##0\)</c:formatCode>
                <c:ptCount val="15"/>
                <c:pt idx="0">
                  <c:v>8401</c:v>
                </c:pt>
                <c:pt idx="1">
                  <c:v>3780.45</c:v>
                </c:pt>
                <c:pt idx="2" formatCode="_(&quot;$&quot;* #,##0_);_(&quot;$&quot;* \(#,##0\);_(&quot;$&quot;* &quot;-&quot;??_);_(@_)">
                  <c:v>7371.8774999999996</c:v>
                </c:pt>
                <c:pt idx="4">
                  <c:v>19602</c:v>
                </c:pt>
                <c:pt idx="5">
                  <c:v>2352.2399999999998</c:v>
                </c:pt>
                <c:pt idx="6" formatCode="_(&quot;$&quot;* #,##0_);_(&quot;$&quot;* \(#,##0\);_(&quot;$&quot;* &quot;-&quot;??_);_(@_)">
                  <c:v>8232.84</c:v>
                </c:pt>
                <c:pt idx="8">
                  <c:v>8329.0110000000004</c:v>
                </c:pt>
                <c:pt idx="9">
                  <c:v>27767.401999999998</c:v>
                </c:pt>
                <c:pt idx="10" formatCode="_([$$-409]* #,##0_);_([$$-409]* \(#,##0\);_([$$-409]* &quot;-&quot;??_);_(@_)">
                  <c:v>66919.438819999996</c:v>
                </c:pt>
                <c:pt idx="12">
                  <c:v>6437.5929999999998</c:v>
                </c:pt>
                <c:pt idx="13">
                  <c:v>63.314999999999998</c:v>
                </c:pt>
                <c:pt idx="14">
                  <c:v>3373.8850000000002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E5-423C-94FD-184EE2578ED8}"/>
            </c:ext>
          </c:extLst>
        </c:ser>
        <c:ser>
          <c:idx val="2"/>
          <c:order val="3"/>
          <c:tx>
            <c:strRef>
              <c:f>'Agriculture Prod 2008 - 2020'!$C$4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'Agriculture Prod 2008 - 2020'!$A$40:$A$54</c:f>
              <c:strCache>
                <c:ptCount val="15"/>
                <c:pt idx="0">
                  <c:v>Cattle: No. slaughtered (#)</c:v>
                </c:pt>
                <c:pt idx="1">
                  <c:v>Cattle: dressed weight ('000 pounds)</c:v>
                </c:pt>
                <c:pt idx="2">
                  <c:v> Income BZE$ ('000) </c:v>
                </c:pt>
                <c:pt idx="4">
                  <c:v>Pigs  :No. slaughtered (#)</c:v>
                </c:pt>
                <c:pt idx="5">
                  <c:v>            Pigs  :Dressed weight ('000 pounds)</c:v>
                </c:pt>
                <c:pt idx="6">
                  <c:v> Income BZE$ ('000) </c:v>
                </c:pt>
                <c:pt idx="8">
                  <c:v>Poultry No. slaughtered ('000 units)</c:v>
                </c:pt>
                <c:pt idx="9">
                  <c:v>Poultry dressed weight ('000 pounds)</c:v>
                </c:pt>
                <c:pt idx="10">
                  <c:v> Income $BZ ('000) </c:v>
                </c:pt>
                <c:pt idx="12">
                  <c:v>Milk        ('000 pounds)</c:v>
                </c:pt>
                <c:pt idx="13">
                  <c:v>Honey     ('000 pounds)</c:v>
                </c:pt>
                <c:pt idx="14">
                  <c:v>Eggs       ('000 dozen)</c:v>
                </c:pt>
              </c:strCache>
            </c:strRef>
          </c:cat>
          <c:val>
            <c:numRef>
              <c:f>'Agriculture Prod 2008 - 2020'!$C$40:$C$54</c:f>
              <c:numCache>
                <c:formatCode>#,##0_);\(#,##0\)</c:formatCode>
                <c:ptCount val="15"/>
                <c:pt idx="0">
                  <c:v>7961</c:v>
                </c:pt>
                <c:pt idx="1">
                  <c:v>3582.45</c:v>
                </c:pt>
                <c:pt idx="2" formatCode="_(&quot;$&quot;* #,##0_);_(&quot;$&quot;* \(#,##0\);_(&quot;$&quot;* &quot;-&quot;??_);_(@_)">
                  <c:v>7164.9</c:v>
                </c:pt>
                <c:pt idx="4">
                  <c:v>21953</c:v>
                </c:pt>
                <c:pt idx="5">
                  <c:v>2634.36</c:v>
                </c:pt>
                <c:pt idx="6" formatCode="_(&quot;$&quot;* #,##0_);_(&quot;$&quot;* \(#,##0\);_(&quot;$&quot;* &quot;-&quot;??_);_(@_)">
                  <c:v>9220.26</c:v>
                </c:pt>
                <c:pt idx="8">
                  <c:v>8428.6110000000008</c:v>
                </c:pt>
                <c:pt idx="9">
                  <c:v>28577.081999999999</c:v>
                </c:pt>
                <c:pt idx="10" formatCode="_([$$-409]* #,##0_);_([$$-409]* \(#,##0\);_([$$-409]* &quot;-&quot;??_);_(@_)">
                  <c:v>62869.580399999999</c:v>
                </c:pt>
                <c:pt idx="12">
                  <c:v>8276.8590000000004</c:v>
                </c:pt>
                <c:pt idx="13">
                  <c:v>130.345</c:v>
                </c:pt>
                <c:pt idx="14">
                  <c:v>3427.44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E5-423C-94FD-184EE2578ED8}"/>
            </c:ext>
          </c:extLst>
        </c:ser>
        <c:ser>
          <c:idx val="3"/>
          <c:order val="4"/>
          <c:tx>
            <c:strRef>
              <c:f>'Agriculture Prod 2008 - 2020'!$D$4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'Agriculture Prod 2008 - 2020'!$A$40:$A$54</c:f>
              <c:strCache>
                <c:ptCount val="15"/>
                <c:pt idx="0">
                  <c:v>Cattle: No. slaughtered (#)</c:v>
                </c:pt>
                <c:pt idx="1">
                  <c:v>Cattle: dressed weight ('000 pounds)</c:v>
                </c:pt>
                <c:pt idx="2">
                  <c:v> Income BZE$ ('000) </c:v>
                </c:pt>
                <c:pt idx="4">
                  <c:v>Pigs  :No. slaughtered (#)</c:v>
                </c:pt>
                <c:pt idx="5">
                  <c:v>            Pigs  :Dressed weight ('000 pounds)</c:v>
                </c:pt>
                <c:pt idx="6">
                  <c:v> Income BZE$ ('000) </c:v>
                </c:pt>
                <c:pt idx="8">
                  <c:v>Poultry No. slaughtered ('000 units)</c:v>
                </c:pt>
                <c:pt idx="9">
                  <c:v>Poultry dressed weight ('000 pounds)</c:v>
                </c:pt>
                <c:pt idx="10">
                  <c:v> Income $BZ ('000) </c:v>
                </c:pt>
                <c:pt idx="12">
                  <c:v>Milk        ('000 pounds)</c:v>
                </c:pt>
                <c:pt idx="13">
                  <c:v>Honey     ('000 pounds)</c:v>
                </c:pt>
                <c:pt idx="14">
                  <c:v>Eggs       ('000 dozen)</c:v>
                </c:pt>
              </c:strCache>
            </c:strRef>
          </c:cat>
          <c:val>
            <c:numRef>
              <c:f>'Agriculture Prod 2008 - 2020'!$D$40:$D$54</c:f>
              <c:numCache>
                <c:formatCode>#,##0_);\(#,##0\)</c:formatCode>
                <c:ptCount val="15"/>
                <c:pt idx="0">
                  <c:v>7414</c:v>
                </c:pt>
                <c:pt idx="1">
                  <c:v>3336.48</c:v>
                </c:pt>
                <c:pt idx="2" formatCode="_(&quot;$&quot;* #,##0_);_(&quot;$&quot;* \(#,##0\);_(&quot;$&quot;* &quot;-&quot;??_);_(@_)">
                  <c:v>6672.96</c:v>
                </c:pt>
                <c:pt idx="4">
                  <c:v>22415</c:v>
                </c:pt>
                <c:pt idx="5">
                  <c:v>2689.7579999999998</c:v>
                </c:pt>
                <c:pt idx="6" formatCode="_(&quot;$&quot;* #,##0_);_(&quot;$&quot;* \(#,##0\);_(&quot;$&quot;* &quot;-&quot;??_);_(@_)">
                  <c:v>9414.1529999999984</c:v>
                </c:pt>
                <c:pt idx="8">
                  <c:v>8589.5519999999997</c:v>
                </c:pt>
                <c:pt idx="9">
                  <c:v>30112.763999999999</c:v>
                </c:pt>
                <c:pt idx="10" formatCode="_([$$-409]* #,##0_);_([$$-409]* \(#,##0\);_([$$-409]* &quot;-&quot;??_);_(@_)">
                  <c:v>67753.718999999997</c:v>
                </c:pt>
                <c:pt idx="12">
                  <c:v>7330.6790000000001</c:v>
                </c:pt>
                <c:pt idx="13">
                  <c:v>89.203000000000003</c:v>
                </c:pt>
                <c:pt idx="14">
                  <c:v>4033.692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E5-423C-94FD-184EE2578ED8}"/>
            </c:ext>
          </c:extLst>
        </c:ser>
        <c:ser>
          <c:idx val="4"/>
          <c:order val="5"/>
          <c:tx>
            <c:strRef>
              <c:f>'Agriculture Prod 2008 - 2020'!$E$4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'Agriculture Prod 2008 - 2020'!$A$40:$A$54</c:f>
              <c:strCache>
                <c:ptCount val="15"/>
                <c:pt idx="0">
                  <c:v>Cattle: No. slaughtered (#)</c:v>
                </c:pt>
                <c:pt idx="1">
                  <c:v>Cattle: dressed weight ('000 pounds)</c:v>
                </c:pt>
                <c:pt idx="2">
                  <c:v> Income BZE$ ('000) </c:v>
                </c:pt>
                <c:pt idx="4">
                  <c:v>Pigs  :No. slaughtered (#)</c:v>
                </c:pt>
                <c:pt idx="5">
                  <c:v>            Pigs  :Dressed weight ('000 pounds)</c:v>
                </c:pt>
                <c:pt idx="6">
                  <c:v> Income BZE$ ('000) </c:v>
                </c:pt>
                <c:pt idx="8">
                  <c:v>Poultry No. slaughtered ('000 units)</c:v>
                </c:pt>
                <c:pt idx="9">
                  <c:v>Poultry dressed weight ('000 pounds)</c:v>
                </c:pt>
                <c:pt idx="10">
                  <c:v> Income $BZ ('000) </c:v>
                </c:pt>
                <c:pt idx="12">
                  <c:v>Milk        ('000 pounds)</c:v>
                </c:pt>
                <c:pt idx="13">
                  <c:v>Honey     ('000 pounds)</c:v>
                </c:pt>
                <c:pt idx="14">
                  <c:v>Eggs       ('000 dozen)</c:v>
                </c:pt>
              </c:strCache>
            </c:strRef>
          </c:cat>
          <c:val>
            <c:numRef>
              <c:f>'Agriculture Prod 2008 - 2020'!$E$40:$E$54</c:f>
              <c:numCache>
                <c:formatCode>#,##0_);\(#,##0\)</c:formatCode>
                <c:ptCount val="15"/>
                <c:pt idx="0">
                  <c:v>7861</c:v>
                </c:pt>
                <c:pt idx="1">
                  <c:v>3537.45</c:v>
                </c:pt>
                <c:pt idx="2" formatCode="_(&quot;$&quot;* #,##0_);_(&quot;$&quot;* \(#,##0\);_(&quot;$&quot;* &quot;-&quot;??_);_(@_)">
                  <c:v>7959.2624999999998</c:v>
                </c:pt>
                <c:pt idx="4">
                  <c:v>21704</c:v>
                </c:pt>
                <c:pt idx="5">
                  <c:v>2604.48</c:v>
                </c:pt>
                <c:pt idx="6" formatCode="_(&quot;$&quot;* #,##0_);_(&quot;$&quot;* \(#,##0\);_(&quot;$&quot;* &quot;-&quot;??_);_(@_)">
                  <c:v>9115.68</c:v>
                </c:pt>
                <c:pt idx="8">
                  <c:v>8816.6229999999996</c:v>
                </c:pt>
                <c:pt idx="9">
                  <c:v>30578.971000000001</c:v>
                </c:pt>
                <c:pt idx="10" formatCode="_([$$-409]* #,##0_);_([$$-409]* \(#,##0\);_([$$-409]* &quot;-&quot;??_);_(@_)">
                  <c:v>70331.633300000001</c:v>
                </c:pt>
                <c:pt idx="12">
                  <c:v>8697.6229999999996</c:v>
                </c:pt>
                <c:pt idx="13">
                  <c:v>130.495</c:v>
                </c:pt>
                <c:pt idx="14">
                  <c:v>3533.962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E5-423C-94FD-184EE2578ED8}"/>
            </c:ext>
          </c:extLst>
        </c:ser>
        <c:ser>
          <c:idx val="5"/>
          <c:order val="6"/>
          <c:tx>
            <c:strRef>
              <c:f>'Agriculture Prod 2008 - 2020'!$F$4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'Agriculture Prod 2008 - 2020'!$A$40:$A$54</c:f>
              <c:strCache>
                <c:ptCount val="15"/>
                <c:pt idx="0">
                  <c:v>Cattle: No. slaughtered (#)</c:v>
                </c:pt>
                <c:pt idx="1">
                  <c:v>Cattle: dressed weight ('000 pounds)</c:v>
                </c:pt>
                <c:pt idx="2">
                  <c:v> Income BZE$ ('000) </c:v>
                </c:pt>
                <c:pt idx="4">
                  <c:v>Pigs  :No. slaughtered (#)</c:v>
                </c:pt>
                <c:pt idx="5">
                  <c:v>            Pigs  :Dressed weight ('000 pounds)</c:v>
                </c:pt>
                <c:pt idx="6">
                  <c:v> Income BZE$ ('000) </c:v>
                </c:pt>
                <c:pt idx="8">
                  <c:v>Poultry No. slaughtered ('000 units)</c:v>
                </c:pt>
                <c:pt idx="9">
                  <c:v>Poultry dressed weight ('000 pounds)</c:v>
                </c:pt>
                <c:pt idx="10">
                  <c:v> Income $BZ ('000) </c:v>
                </c:pt>
                <c:pt idx="12">
                  <c:v>Milk        ('000 pounds)</c:v>
                </c:pt>
                <c:pt idx="13">
                  <c:v>Honey     ('000 pounds)</c:v>
                </c:pt>
                <c:pt idx="14">
                  <c:v>Eggs       ('000 dozen)</c:v>
                </c:pt>
              </c:strCache>
            </c:strRef>
          </c:cat>
          <c:val>
            <c:numRef>
              <c:f>'Agriculture Prod 2008 - 2020'!$F$40:$F$54</c:f>
              <c:numCache>
                <c:formatCode>#,##0_);\(#,##0\)</c:formatCode>
                <c:ptCount val="15"/>
                <c:pt idx="0">
                  <c:v>8157</c:v>
                </c:pt>
                <c:pt idx="1">
                  <c:v>3670.65</c:v>
                </c:pt>
                <c:pt idx="2" formatCode="_(&quot;$&quot;* #,##0_);_(&quot;$&quot;* \(#,##0\);_(&quot;$&quot;* &quot;-&quot;??_);_(@_)">
                  <c:v>11011.95</c:v>
                </c:pt>
                <c:pt idx="4">
                  <c:v>25881</c:v>
                </c:pt>
                <c:pt idx="5">
                  <c:v>3105.72</c:v>
                </c:pt>
                <c:pt idx="6" formatCode="_(&quot;$&quot;* #,##0_);_(&quot;$&quot;* \(#,##0\);_(&quot;$&quot;* &quot;-&quot;??_);_(@_)">
                  <c:v>10870.019999999999</c:v>
                </c:pt>
                <c:pt idx="8">
                  <c:v>8964.84</c:v>
                </c:pt>
                <c:pt idx="9">
                  <c:v>31549.690999999999</c:v>
                </c:pt>
                <c:pt idx="10" formatCode="_([$$-409]* #,##0_);_([$$-409]* \(#,##0\);_([$$-409]* &quot;-&quot;??_);_(@_)">
                  <c:v>77296.74295</c:v>
                </c:pt>
                <c:pt idx="12">
                  <c:v>11872.766</c:v>
                </c:pt>
                <c:pt idx="13">
                  <c:v>102.83499999999999</c:v>
                </c:pt>
                <c:pt idx="14">
                  <c:v>2742.9490000000001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E5-423C-94FD-184EE2578ED8}"/>
            </c:ext>
          </c:extLst>
        </c:ser>
        <c:ser>
          <c:idx val="6"/>
          <c:order val="7"/>
          <c:tx>
            <c:strRef>
              <c:f>'Agriculture Prod 2008 - 2020'!$G$4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'Agriculture Prod 2008 - 2020'!$A$40:$A$54</c:f>
              <c:strCache>
                <c:ptCount val="15"/>
                <c:pt idx="0">
                  <c:v>Cattle: No. slaughtered (#)</c:v>
                </c:pt>
                <c:pt idx="1">
                  <c:v>Cattle: dressed weight ('000 pounds)</c:v>
                </c:pt>
                <c:pt idx="2">
                  <c:v> Income BZE$ ('000) </c:v>
                </c:pt>
                <c:pt idx="4">
                  <c:v>Pigs  :No. slaughtered (#)</c:v>
                </c:pt>
                <c:pt idx="5">
                  <c:v>            Pigs  :Dressed weight ('000 pounds)</c:v>
                </c:pt>
                <c:pt idx="6">
                  <c:v> Income BZE$ ('000) </c:v>
                </c:pt>
                <c:pt idx="8">
                  <c:v>Poultry No. slaughtered ('000 units)</c:v>
                </c:pt>
                <c:pt idx="9">
                  <c:v>Poultry dressed weight ('000 pounds)</c:v>
                </c:pt>
                <c:pt idx="10">
                  <c:v> Income $BZ ('000) </c:v>
                </c:pt>
                <c:pt idx="12">
                  <c:v>Milk        ('000 pounds)</c:v>
                </c:pt>
                <c:pt idx="13">
                  <c:v>Honey     ('000 pounds)</c:v>
                </c:pt>
                <c:pt idx="14">
                  <c:v>Eggs       ('000 dozen)</c:v>
                </c:pt>
              </c:strCache>
            </c:strRef>
          </c:cat>
          <c:val>
            <c:numRef>
              <c:f>'Agriculture Prod 2008 - 2020'!$G$40:$G$54</c:f>
              <c:numCache>
                <c:formatCode>#,##0_);\(#,##0\)</c:formatCode>
                <c:ptCount val="15"/>
                <c:pt idx="0">
                  <c:v>9052</c:v>
                </c:pt>
                <c:pt idx="1">
                  <c:v>4073.4</c:v>
                </c:pt>
                <c:pt idx="2" formatCode="_(&quot;$&quot;* #,##0_);_(&quot;$&quot;* \(#,##0\);_(&quot;$&quot;* &quot;-&quot;??_);_(@_)">
                  <c:v>14256.9</c:v>
                </c:pt>
                <c:pt idx="4">
                  <c:v>24655</c:v>
                </c:pt>
                <c:pt idx="5">
                  <c:v>2958.6</c:v>
                </c:pt>
                <c:pt idx="6" formatCode="_(&quot;$&quot;* #,##0_);_(&quot;$&quot;* \(#,##0\);_(&quot;$&quot;* &quot;-&quot;??_);_(@_)">
                  <c:v>10355.1</c:v>
                </c:pt>
                <c:pt idx="8">
                  <c:v>9954</c:v>
                </c:pt>
                <c:pt idx="9">
                  <c:v>35312</c:v>
                </c:pt>
                <c:pt idx="10" formatCode="_([$$-409]* #,##0_);_([$$-409]* \(#,##0\);_([$$-409]* &quot;-&quot;??_);_(@_)">
                  <c:v>93576.8</c:v>
                </c:pt>
                <c:pt idx="12">
                  <c:v>11027.564249999999</c:v>
                </c:pt>
                <c:pt idx="13">
                  <c:v>100.1</c:v>
                </c:pt>
                <c:pt idx="14">
                  <c:v>3573.489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E5-423C-94FD-184EE2578ED8}"/>
            </c:ext>
          </c:extLst>
        </c:ser>
        <c:ser>
          <c:idx val="7"/>
          <c:order val="8"/>
          <c:tx>
            <c:strRef>
              <c:f>'Agriculture Prod 2008 - 2020'!$H$4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'Agriculture Prod 2008 - 2020'!$A$40:$A$54</c:f>
              <c:strCache>
                <c:ptCount val="15"/>
                <c:pt idx="0">
                  <c:v>Cattle: No. slaughtered (#)</c:v>
                </c:pt>
                <c:pt idx="1">
                  <c:v>Cattle: dressed weight ('000 pounds)</c:v>
                </c:pt>
                <c:pt idx="2">
                  <c:v> Income BZE$ ('000) </c:v>
                </c:pt>
                <c:pt idx="4">
                  <c:v>Pigs  :No. slaughtered (#)</c:v>
                </c:pt>
                <c:pt idx="5">
                  <c:v>            Pigs  :Dressed weight ('000 pounds)</c:v>
                </c:pt>
                <c:pt idx="6">
                  <c:v> Income BZE$ ('000) </c:v>
                </c:pt>
                <c:pt idx="8">
                  <c:v>Poultry No. slaughtered ('000 units)</c:v>
                </c:pt>
                <c:pt idx="9">
                  <c:v>Poultry dressed weight ('000 pounds)</c:v>
                </c:pt>
                <c:pt idx="10">
                  <c:v> Income $BZ ('000) </c:v>
                </c:pt>
                <c:pt idx="12">
                  <c:v>Milk        ('000 pounds)</c:v>
                </c:pt>
                <c:pt idx="13">
                  <c:v>Honey     ('000 pounds)</c:v>
                </c:pt>
                <c:pt idx="14">
                  <c:v>Eggs       ('000 dozen)</c:v>
                </c:pt>
              </c:strCache>
            </c:strRef>
          </c:cat>
          <c:val>
            <c:numRef>
              <c:f>'Agriculture Prod 2008 - 2020'!$H$40:$H$54</c:f>
              <c:numCache>
                <c:formatCode>#,##0_);\(#,##0\)</c:formatCode>
                <c:ptCount val="15"/>
                <c:pt idx="0">
                  <c:v>7588</c:v>
                </c:pt>
                <c:pt idx="1">
                  <c:v>3414.6</c:v>
                </c:pt>
                <c:pt idx="2" formatCode="_(&quot;$&quot;* #,##0_);_(&quot;$&quot;* \(#,##0\);_(&quot;$&quot;* &quot;-&quot;??_);_(@_)">
                  <c:v>11951.1</c:v>
                </c:pt>
                <c:pt idx="4">
                  <c:v>25233</c:v>
                </c:pt>
                <c:pt idx="5">
                  <c:v>3027.9960000000001</c:v>
                </c:pt>
                <c:pt idx="6" formatCode="_(&quot;$&quot;* #,##0_);_(&quot;$&quot;* \(#,##0\);_(&quot;$&quot;* &quot;-&quot;??_);_(@_)">
                  <c:v>11203.585200000001</c:v>
                </c:pt>
                <c:pt idx="8">
                  <c:v>10690</c:v>
                </c:pt>
                <c:pt idx="9">
                  <c:v>38578.868000000002</c:v>
                </c:pt>
                <c:pt idx="10" formatCode="_([$$-409]* #,##0_);_([$$-409]* \(#,##0\);_([$$-409]* &quot;-&quot;??_);_(@_)">
                  <c:v>92975.071880000018</c:v>
                </c:pt>
                <c:pt idx="12" formatCode="_(* #,##0_);_(* \(#,##0\);_(* &quot;-&quot;??_);_(@_)">
                  <c:v>9578.0509999999995</c:v>
                </c:pt>
                <c:pt idx="13" formatCode="_(* #,##0_);_(* \(#,##0\);_(* &quot;-&quot;??_);_(@_)">
                  <c:v>64.38</c:v>
                </c:pt>
                <c:pt idx="14" formatCode="_(* #,##0_);_(* \(#,##0\);_(* &quot;-&quot;??_);_(@_)">
                  <c:v>4089.2869999999998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E5-423C-94FD-184EE2578ED8}"/>
            </c:ext>
          </c:extLst>
        </c:ser>
        <c:ser>
          <c:idx val="8"/>
          <c:order val="9"/>
          <c:tx>
            <c:strRef>
              <c:f>'Agriculture Prod 2008 - 2020'!$I$4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'Agriculture Prod 2008 - 2020'!$A$40:$A$54</c:f>
              <c:strCache>
                <c:ptCount val="15"/>
                <c:pt idx="0">
                  <c:v>Cattle: No. slaughtered (#)</c:v>
                </c:pt>
                <c:pt idx="1">
                  <c:v>Cattle: dressed weight ('000 pounds)</c:v>
                </c:pt>
                <c:pt idx="2">
                  <c:v> Income BZE$ ('000) </c:v>
                </c:pt>
                <c:pt idx="4">
                  <c:v>Pigs  :No. slaughtered (#)</c:v>
                </c:pt>
                <c:pt idx="5">
                  <c:v>            Pigs  :Dressed weight ('000 pounds)</c:v>
                </c:pt>
                <c:pt idx="6">
                  <c:v> Income BZE$ ('000) </c:v>
                </c:pt>
                <c:pt idx="8">
                  <c:v>Poultry No. slaughtered ('000 units)</c:v>
                </c:pt>
                <c:pt idx="9">
                  <c:v>Poultry dressed weight ('000 pounds)</c:v>
                </c:pt>
                <c:pt idx="10">
                  <c:v> Income $BZ ('000) </c:v>
                </c:pt>
                <c:pt idx="12">
                  <c:v>Milk        ('000 pounds)</c:v>
                </c:pt>
                <c:pt idx="13">
                  <c:v>Honey     ('000 pounds)</c:v>
                </c:pt>
                <c:pt idx="14">
                  <c:v>Eggs       ('000 dozen)</c:v>
                </c:pt>
              </c:strCache>
            </c:strRef>
          </c:cat>
          <c:val>
            <c:numRef>
              <c:f>'Agriculture Prod 2008 - 2020'!$I$40:$I$54</c:f>
              <c:numCache>
                <c:formatCode>#,##0_);\(#,##0\)</c:formatCode>
                <c:ptCount val="15"/>
                <c:pt idx="0">
                  <c:v>7834</c:v>
                </c:pt>
                <c:pt idx="1">
                  <c:v>3525.48</c:v>
                </c:pt>
                <c:pt idx="2" formatCode="_(&quot;$&quot;* #,##0_);_(&quot;$&quot;* \(#,##0\);_(&quot;$&quot;* &quot;-&quot;??_);_(@_)">
                  <c:v>14101.92</c:v>
                </c:pt>
                <c:pt idx="4" formatCode="_(* #,##0_);_(* \(#,##0\);_(* &quot;-&quot;??_);_(@_)">
                  <c:v>30038</c:v>
                </c:pt>
                <c:pt idx="5" formatCode="_(* #,##0_);_(* \(#,##0\);_(* &quot;-&quot;??_);_(@_)">
                  <c:v>3604.56</c:v>
                </c:pt>
                <c:pt idx="6" formatCode="_(&quot;$&quot;* #,##0_);_(&quot;$&quot;* \(#,##0\);_(&quot;$&quot;* &quot;-&quot;??_);_(@_)">
                  <c:v>12615.96</c:v>
                </c:pt>
                <c:pt idx="8">
                  <c:v>11212</c:v>
                </c:pt>
                <c:pt idx="9">
                  <c:v>40773.786599999999</c:v>
                </c:pt>
                <c:pt idx="10" formatCode="_([$$-409]* #,##0_);_([$$-409]* \(#,##0\);_([$$-409]* &quot;-&quot;??_);_(@_)">
                  <c:v>101118.990768</c:v>
                </c:pt>
                <c:pt idx="12" formatCode="_(* #,##0_);_(* \(#,##0\);_(* &quot;-&quot;??_);_(@_)">
                  <c:v>10035.156999999999</c:v>
                </c:pt>
                <c:pt idx="13" formatCode="_(* #,##0_);_(* \(#,##0\);_(* &quot;-&quot;??_);_(@_)">
                  <c:v>97.930999999999997</c:v>
                </c:pt>
                <c:pt idx="14" formatCode="_(* #,##0_);_(* \(#,##0\);_(* &quot;-&quot;??_);_(@_)">
                  <c:v>4229.7820000000002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E5-423C-94FD-184EE2578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41568"/>
        <c:axId val="113343104"/>
      </c:barChart>
      <c:catAx>
        <c:axId val="113341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343104"/>
        <c:crosses val="autoZero"/>
        <c:auto val="1"/>
        <c:lblAlgn val="ctr"/>
        <c:lblOffset val="100"/>
        <c:noMultiLvlLbl val="0"/>
      </c:catAx>
      <c:valAx>
        <c:axId val="113343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Production</a:t>
                </a:r>
                <a:r>
                  <a:rPr lang="en-BZ" baseline="0"/>
                  <a:t> quantities </a:t>
                </a:r>
                <a:endParaRPr lang="en-BZ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3341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Poultry</a:t>
            </a:r>
            <a:r>
              <a:rPr lang="en-BZ" baseline="0"/>
              <a:t> production estimates 2016 and 2017 </a:t>
            </a:r>
            <a:endParaRPr lang="en-B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Prod 2008 - 2018'!#REF!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E-44F2-875B-098B4B5E9B5E}"/>
            </c:ext>
          </c:extLst>
        </c:ser>
        <c:ser>
          <c:idx val="1"/>
          <c:order val="1"/>
          <c:tx>
            <c:strRef>
              <c:f>'Agriculture Prod 2008 - 2018'!#REF!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E-44F2-875B-098B4B5E9B5E}"/>
            </c:ext>
          </c:extLst>
        </c:ser>
        <c:ser>
          <c:idx val="2"/>
          <c:order val="2"/>
          <c:tx>
            <c:strRef>
              <c:f>'Agriculture Prod 2008 - 2020'!$B$4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2008 - 2020'!$B$48:$B$49</c:f>
              <c:numCache>
                <c:formatCode>#,##0_);\(#,##0\)</c:formatCode>
                <c:ptCount val="2"/>
                <c:pt idx="0">
                  <c:v>8329.0110000000004</c:v>
                </c:pt>
                <c:pt idx="1">
                  <c:v>27767.401999999998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E-44F2-875B-098B4B5E9B5E}"/>
            </c:ext>
          </c:extLst>
        </c:ser>
        <c:ser>
          <c:idx val="3"/>
          <c:order val="3"/>
          <c:tx>
            <c:strRef>
              <c:f>'Agriculture Prod 2008 - 2020'!$C$4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2008 - 2020'!$C$48:$C$49</c:f>
              <c:numCache>
                <c:formatCode>#,##0_);\(#,##0\)</c:formatCode>
                <c:ptCount val="2"/>
                <c:pt idx="0">
                  <c:v>8428.6110000000008</c:v>
                </c:pt>
                <c:pt idx="1">
                  <c:v>28577.081999999999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E-44F2-875B-098B4B5E9B5E}"/>
            </c:ext>
          </c:extLst>
        </c:ser>
        <c:ser>
          <c:idx val="4"/>
          <c:order val="4"/>
          <c:tx>
            <c:strRef>
              <c:f>'Agriculture Prod 2008 - 2020'!$D$4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2008 - 2020'!$D$48:$D$49</c:f>
              <c:numCache>
                <c:formatCode>#,##0_);\(#,##0\)</c:formatCode>
                <c:ptCount val="2"/>
                <c:pt idx="0">
                  <c:v>8589.5519999999997</c:v>
                </c:pt>
                <c:pt idx="1">
                  <c:v>30112.763999999999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EE-44F2-875B-098B4B5E9B5E}"/>
            </c:ext>
          </c:extLst>
        </c:ser>
        <c:ser>
          <c:idx val="5"/>
          <c:order val="5"/>
          <c:tx>
            <c:strRef>
              <c:f>'Agriculture Prod 2008 - 2020'!$E$4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2008 - 2020'!$E$48:$E$49</c:f>
              <c:numCache>
                <c:formatCode>#,##0_);\(#,##0\)</c:formatCode>
                <c:ptCount val="2"/>
                <c:pt idx="0">
                  <c:v>8816.6229999999996</c:v>
                </c:pt>
                <c:pt idx="1">
                  <c:v>30578.971000000001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EE-44F2-875B-098B4B5E9B5E}"/>
            </c:ext>
          </c:extLst>
        </c:ser>
        <c:ser>
          <c:idx val="6"/>
          <c:order val="6"/>
          <c:tx>
            <c:strRef>
              <c:f>'Agriculture Prod 2008 - 2020'!$F$4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2008 - 2020'!$F$48:$F$49</c:f>
              <c:numCache>
                <c:formatCode>#,##0_);\(#,##0\)</c:formatCode>
                <c:ptCount val="2"/>
                <c:pt idx="0">
                  <c:v>8964.84</c:v>
                </c:pt>
                <c:pt idx="1">
                  <c:v>31549.690999999999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EE-44F2-875B-098B4B5E9B5E}"/>
            </c:ext>
          </c:extLst>
        </c:ser>
        <c:ser>
          <c:idx val="7"/>
          <c:order val="7"/>
          <c:tx>
            <c:strRef>
              <c:f>'Agriculture Prod 2008 - 2020'!$G$4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2008 - 2020'!$G$48:$G$49</c:f>
              <c:numCache>
                <c:formatCode>#,##0_);\(#,##0\)</c:formatCode>
                <c:ptCount val="2"/>
                <c:pt idx="0">
                  <c:v>9954</c:v>
                </c:pt>
                <c:pt idx="1">
                  <c:v>35312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EE-44F2-875B-098B4B5E9B5E}"/>
            </c:ext>
          </c:extLst>
        </c:ser>
        <c:ser>
          <c:idx val="8"/>
          <c:order val="8"/>
          <c:tx>
            <c:strRef>
              <c:f>'Agriculture Prod 2008 - 2020'!$H$4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2008 - 2020'!$H$48:$H$49</c:f>
              <c:numCache>
                <c:formatCode>#,##0_);\(#,##0\)</c:formatCode>
                <c:ptCount val="2"/>
                <c:pt idx="0">
                  <c:v>10690</c:v>
                </c:pt>
                <c:pt idx="1">
                  <c:v>38578.868000000002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E-44F2-875B-098B4B5E9B5E}"/>
            </c:ext>
          </c:extLst>
        </c:ser>
        <c:ser>
          <c:idx val="9"/>
          <c:order val="9"/>
          <c:tx>
            <c:strRef>
              <c:f>'Agriculture Prod 2008 - 2020'!$I$4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2008 - 2020'!$I$48:$I$49</c:f>
              <c:numCache>
                <c:formatCode>#,##0_);\(#,##0\)</c:formatCode>
                <c:ptCount val="2"/>
                <c:pt idx="0">
                  <c:v>11212</c:v>
                </c:pt>
                <c:pt idx="1">
                  <c:v>40773.786599999999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EE-44F2-875B-098B4B5E9B5E}"/>
            </c:ext>
          </c:extLst>
        </c:ser>
        <c:ser>
          <c:idx val="10"/>
          <c:order val="10"/>
          <c:tx>
            <c:strRef>
              <c:f>'Agriculture Prod 2008 - 2020'!$J$4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2008 - 2020'!$J$48:$J$49</c:f>
              <c:numCache>
                <c:formatCode>#,##0_);\(#,##0\)</c:formatCode>
                <c:ptCount val="2"/>
                <c:pt idx="0">
                  <c:v>11669.21</c:v>
                </c:pt>
                <c:pt idx="1">
                  <c:v>41719.106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EE-44F2-875B-098B4B5E9B5E}"/>
            </c:ext>
          </c:extLst>
        </c:ser>
        <c:ser>
          <c:idx val="11"/>
          <c:order val="11"/>
          <c:tx>
            <c:strRef>
              <c:f>'Agriculture Prod 2008 - 2020'!$K$4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'Agriculture Prod 2008 - 2020'!$A$48:$A$49</c:f>
              <c:strCache>
                <c:ptCount val="2"/>
                <c:pt idx="0">
                  <c:v>Poultry No. slaughtered ('000 units)</c:v>
                </c:pt>
                <c:pt idx="1">
                  <c:v>Poultry dressed weight ('000 pounds)</c:v>
                </c:pt>
              </c:strCache>
            </c:strRef>
          </c:cat>
          <c:val>
            <c:numRef>
              <c:f>'Agriculture Prod 2008 - 2020'!$K$48:$K$49</c:f>
              <c:numCache>
                <c:formatCode>#,##0_);\(#,##0\)</c:formatCode>
                <c:ptCount val="2"/>
                <c:pt idx="0">
                  <c:v>11869.579</c:v>
                </c:pt>
                <c:pt idx="1">
                  <c:v>43310.911999999997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6EE-44F2-875B-098B4B5E9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84928"/>
        <c:axId val="113486464"/>
      </c:barChart>
      <c:catAx>
        <c:axId val="11348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486464"/>
        <c:crosses val="autoZero"/>
        <c:auto val="1"/>
        <c:lblAlgn val="ctr"/>
        <c:lblOffset val="100"/>
        <c:noMultiLvlLbl val="0"/>
      </c:catAx>
      <c:valAx>
        <c:axId val="11348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Volumes</a:t>
                </a:r>
                <a:r>
                  <a:rPr lang="en-BZ" baseline="0"/>
                  <a:t> </a:t>
                </a:r>
                <a:endParaRPr lang="en-BZ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3484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Orange</a:t>
            </a:r>
            <a:r>
              <a:rPr lang="en-US" baseline="0"/>
              <a:t> Production for the period 2007 -2015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'Agriculture Prod 2008 - 2020'!$A$9</c:f>
              <c:strCache>
                <c:ptCount val="1"/>
                <c:pt idx="0">
                  <c:v>Oranges ('000 90 pounds per box)</c:v>
                </c:pt>
              </c:strCache>
            </c:strRef>
          </c:tx>
          <c:cat>
            <c:strRef>
              <c:f>'Agriculture Prod 2008 - 2020'!$B$4:$I$4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strCache>
            </c:strRef>
          </c:cat>
          <c:val>
            <c:numRef>
              <c:f>'Agriculture Prod 2008 - 2020'!$B$9:$I$9</c:f>
              <c:numCache>
                <c:formatCode>_(* #,##0_);_(* \(#,##0\);_(* "-"??_);_(@_)</c:formatCode>
                <c:ptCount val="8"/>
                <c:pt idx="0">
                  <c:v>5661.2950000000001</c:v>
                </c:pt>
                <c:pt idx="1">
                  <c:v>5519.62</c:v>
                </c:pt>
                <c:pt idx="2">
                  <c:v>3851.4290000000001</c:v>
                </c:pt>
                <c:pt idx="3">
                  <c:v>4447.4960000000001</c:v>
                </c:pt>
                <c:pt idx="4">
                  <c:v>5805.9480000000003</c:v>
                </c:pt>
                <c:pt idx="5">
                  <c:v>4051.6590000000001</c:v>
                </c:pt>
                <c:pt idx="6">
                  <c:v>4158.8689999999997</c:v>
                </c:pt>
                <c:pt idx="7">
                  <c:v>3963.779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E-4D61-B040-E094FCD5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09120"/>
        <c:axId val="113510656"/>
      </c:lineChart>
      <c:catAx>
        <c:axId val="113509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510656"/>
        <c:crosses val="autoZero"/>
        <c:auto val="1"/>
        <c:lblAlgn val="ctr"/>
        <c:lblOffset val="100"/>
        <c:noMultiLvlLbl val="0"/>
      </c:catAx>
      <c:valAx>
        <c:axId val="113510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Oranges ('000 90lbs</a:t>
                </a:r>
                <a:r>
                  <a:rPr lang="en-US" baseline="0"/>
                  <a:t> per box) </a:t>
                </a:r>
                <a:endParaRPr lang="en-US"/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13509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Citrus Industry production and income generation</a:t>
            </a:r>
            <a:r>
              <a:rPr lang="en-BZ" baseline="0"/>
              <a:t> from </a:t>
            </a:r>
            <a:r>
              <a:rPr lang="en-BZ"/>
              <a:t>2008-2020 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Prod 2008 - 2020'!$A$9</c:f>
              <c:strCache>
                <c:ptCount val="1"/>
                <c:pt idx="0">
                  <c:v>Oranges ('000 90 pounds per box)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2008 - 2020'!$B$9:$N$9</c:f>
              <c:numCache>
                <c:formatCode>_(* #,##0_);_(* \(#,##0\);_(* "-"??_);_(@_)</c:formatCode>
                <c:ptCount val="13"/>
                <c:pt idx="0">
                  <c:v>5661.2950000000001</c:v>
                </c:pt>
                <c:pt idx="1">
                  <c:v>5519.62</c:v>
                </c:pt>
                <c:pt idx="2">
                  <c:v>3851.4290000000001</c:v>
                </c:pt>
                <c:pt idx="3">
                  <c:v>4447.4960000000001</c:v>
                </c:pt>
                <c:pt idx="4">
                  <c:v>5805.9480000000003</c:v>
                </c:pt>
                <c:pt idx="5">
                  <c:v>4051.6590000000001</c:v>
                </c:pt>
                <c:pt idx="6">
                  <c:v>4158.8689999999997</c:v>
                </c:pt>
                <c:pt idx="7">
                  <c:v>3963.779</c:v>
                </c:pt>
                <c:pt idx="8">
                  <c:v>3248</c:v>
                </c:pt>
                <c:pt idx="9">
                  <c:v>3200.8429999999998</c:v>
                </c:pt>
                <c:pt idx="10">
                  <c:v>2433.4090000000001</c:v>
                </c:pt>
                <c:pt idx="11">
                  <c:v>2126.6759999999999</c:v>
                </c:pt>
                <c:pt idx="12">
                  <c:v>2329.5239999999999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A-4273-92F2-0816E08D2267}"/>
            </c:ext>
          </c:extLst>
        </c:ser>
        <c:ser>
          <c:idx val="1"/>
          <c:order val="1"/>
          <c:tx>
            <c:strRef>
              <c:f>'Agriculture Prod 2008 - 2020'!$A$10</c:f>
              <c:strCache>
                <c:ptCount val="1"/>
                <c:pt idx="0">
                  <c:v>OrangesIncome $BZ ('000)  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2008 - 2020'!$B$10:$N$10</c:f>
              <c:numCache>
                <c:formatCode>_("$"* #,##0_);_("$"* \(#,##0\);_("$"* "-"??_);_(@_)</c:formatCode>
                <c:ptCount val="13"/>
                <c:pt idx="0">
                  <c:v>48007.781600000002</c:v>
                </c:pt>
                <c:pt idx="1">
                  <c:v>49676.58</c:v>
                </c:pt>
                <c:pt idx="2">
                  <c:v>35779.775409999995</c:v>
                </c:pt>
                <c:pt idx="3">
                  <c:v>47187.932560000001</c:v>
                </c:pt>
                <c:pt idx="4">
                  <c:v>84302.364960000006</c:v>
                </c:pt>
                <c:pt idx="5">
                  <c:v>44608.765590000003</c:v>
                </c:pt>
                <c:pt idx="6">
                  <c:v>45539.615549999995</c:v>
                </c:pt>
                <c:pt idx="7">
                  <c:v>47327.521260000001</c:v>
                </c:pt>
                <c:pt idx="8">
                  <c:v>40729.919999999998</c:v>
                </c:pt>
                <c:pt idx="9">
                  <c:v>48748.838889999999</c:v>
                </c:pt>
                <c:pt idx="10">
                  <c:v>32120.998800000001</c:v>
                </c:pt>
                <c:pt idx="11">
                  <c:v>28029.589679999997</c:v>
                </c:pt>
                <c:pt idx="12">
                  <c:v>24250.344839999998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EC-46BD-B83B-FDA660774713}"/>
            </c:ext>
          </c:extLst>
        </c:ser>
        <c:ser>
          <c:idx val="2"/>
          <c:order val="2"/>
          <c:tx>
            <c:strRef>
              <c:f>'Agriculture Prod 2008 - 2020'!$A$11</c:f>
              <c:strCache>
                <c:ptCount val="1"/>
                <c:pt idx="0">
                  <c:v>Grapefruit ('000 80 pounds per box)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2008 - 2020'!$B$11:$N$11</c:f>
              <c:numCache>
                <c:formatCode>_(* #,##0_);_(* \(#,##0\);_(* "-"??_);_(@_)</c:formatCode>
                <c:ptCount val="13"/>
                <c:pt idx="0">
                  <c:v>1441</c:v>
                </c:pt>
                <c:pt idx="1">
                  <c:v>1124</c:v>
                </c:pt>
                <c:pt idx="2">
                  <c:v>1389.7529999999999</c:v>
                </c:pt>
                <c:pt idx="3">
                  <c:v>673.04300000000001</c:v>
                </c:pt>
                <c:pt idx="4">
                  <c:v>880.48900000000003</c:v>
                </c:pt>
                <c:pt idx="5">
                  <c:v>678.14700000000005</c:v>
                </c:pt>
                <c:pt idx="6">
                  <c:v>576.23400000000004</c:v>
                </c:pt>
                <c:pt idx="7">
                  <c:v>722.10400000000004</c:v>
                </c:pt>
                <c:pt idx="8">
                  <c:v>370.964</c:v>
                </c:pt>
                <c:pt idx="9">
                  <c:v>186.10599999999999</c:v>
                </c:pt>
                <c:pt idx="10">
                  <c:v>205.47499999999999</c:v>
                </c:pt>
                <c:pt idx="11">
                  <c:v>222.28800000000001</c:v>
                </c:pt>
                <c:pt idx="12">
                  <c:v>144.84700000000001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EC-46BD-B83B-FDA660774713}"/>
            </c:ext>
          </c:extLst>
        </c:ser>
        <c:ser>
          <c:idx val="3"/>
          <c:order val="3"/>
          <c:tx>
            <c:strRef>
              <c:f>'Agriculture Prod 2008 - 2020'!$A$12</c:f>
              <c:strCache>
                <c:ptCount val="1"/>
                <c:pt idx="0">
                  <c:v>Grapefruit Income $BZ('000)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2008 - 2020'!$B$12:$N$12</c:f>
              <c:numCache>
                <c:formatCode>_("$"* #,##0_);_("$"* \(#,##0\);_("$"* "-"??_);_(@_)</c:formatCode>
                <c:ptCount val="13"/>
                <c:pt idx="0">
                  <c:v>5158.78</c:v>
                </c:pt>
                <c:pt idx="1">
                  <c:v>5395.2</c:v>
                </c:pt>
                <c:pt idx="2">
                  <c:v>7046.0477099999998</c:v>
                </c:pt>
                <c:pt idx="3">
                  <c:v>3412.3280100000002</c:v>
                </c:pt>
                <c:pt idx="4">
                  <c:v>7801.1325399999996</c:v>
                </c:pt>
                <c:pt idx="5">
                  <c:v>6340.6744500000004</c:v>
                </c:pt>
                <c:pt idx="6">
                  <c:v>5687.42958</c:v>
                </c:pt>
                <c:pt idx="7">
                  <c:v>7163.2716800000007</c:v>
                </c:pt>
                <c:pt idx="8">
                  <c:v>3746.7363999999998</c:v>
                </c:pt>
                <c:pt idx="9">
                  <c:v>2173.7180800000001</c:v>
                </c:pt>
                <c:pt idx="10">
                  <c:v>2453.3714999999997</c:v>
                </c:pt>
                <c:pt idx="11">
                  <c:v>4550.2353599999997</c:v>
                </c:pt>
                <c:pt idx="12">
                  <c:v>2569.5857799999999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EC-46BD-B83B-FDA66077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51232"/>
        <c:axId val="113552768"/>
      </c:barChart>
      <c:catAx>
        <c:axId val="11355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552768"/>
        <c:crosses val="autoZero"/>
        <c:auto val="1"/>
        <c:lblAlgn val="ctr"/>
        <c:lblOffset val="100"/>
        <c:noMultiLvlLbl val="0"/>
      </c:catAx>
      <c:valAx>
        <c:axId val="113552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Volume ('000) </a:t>
                </a:r>
              </a:p>
              <a:p>
                <a:pPr>
                  <a:defRPr/>
                </a:pPr>
                <a:r>
                  <a:rPr lang="en-BZ"/>
                  <a:t> 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13551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Banana production and income</a:t>
            </a:r>
            <a:r>
              <a:rPr lang="en-US" baseline="0"/>
              <a:t> generation</a:t>
            </a:r>
            <a:r>
              <a:rPr lang="en-US"/>
              <a:t> for 2008 -2020 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'Agriculture Prod 2008 - 2020'!$A$14</c:f>
              <c:strCache>
                <c:ptCount val="1"/>
                <c:pt idx="0">
                  <c:v>Bananas ('000 40 pounds per box)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2008 - 2020'!$B$14:$N$14</c:f>
              <c:numCache>
                <c:formatCode>#,##0_);\(#,##0\)</c:formatCode>
                <c:ptCount val="13"/>
                <c:pt idx="0">
                  <c:v>3751</c:v>
                </c:pt>
                <c:pt idx="1">
                  <c:v>3752</c:v>
                </c:pt>
                <c:pt idx="2">
                  <c:v>4288</c:v>
                </c:pt>
                <c:pt idx="3">
                  <c:v>4084.701</c:v>
                </c:pt>
                <c:pt idx="4">
                  <c:v>5716.2539999999999</c:v>
                </c:pt>
                <c:pt idx="5">
                  <c:v>5446.8130000000001</c:v>
                </c:pt>
                <c:pt idx="6" formatCode="_(* #,##0_);_(* \(#,##0\);_(* &quot;-&quot;??_);_(@_)">
                  <c:v>5661.558</c:v>
                </c:pt>
                <c:pt idx="7" formatCode="_(* #,##0_);_(* \(#,##0\);_(* &quot;-&quot;??_);_(@_)">
                  <c:v>5447.9759999999997</c:v>
                </c:pt>
                <c:pt idx="8" formatCode="_(* #,##0_);_(* \(#,##0\);_(* &quot;-&quot;??_);_(@_)">
                  <c:v>3892.1509999999998</c:v>
                </c:pt>
                <c:pt idx="9" formatCode="_(* #,##0_);_(* \(#,##0\);_(* &quot;-&quot;??_);_(@_)">
                  <c:v>4693.8419999999996</c:v>
                </c:pt>
                <c:pt idx="10">
                  <c:v>4337.1109999999999</c:v>
                </c:pt>
                <c:pt idx="11">
                  <c:v>4621.1499999999996</c:v>
                </c:pt>
                <c:pt idx="12">
                  <c:v>5001.1409999999996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2-481B-9E14-D6534F7E0F97}"/>
            </c:ext>
          </c:extLst>
        </c:ser>
        <c:ser>
          <c:idx val="1"/>
          <c:order val="1"/>
          <c:tx>
            <c:strRef>
              <c:f>'Agriculture Prod 2008 - 2020'!$A$15</c:f>
              <c:strCache>
                <c:ptCount val="1"/>
                <c:pt idx="0">
                  <c:v>Income $BZE('000)</c:v>
                </c:pt>
              </c:strCache>
            </c:strRef>
          </c:tx>
          <c:invertIfNegative val="0"/>
          <c:cat>
            <c:strRef>
              <c:f>'Agriculture Prod 2008 - 2020'!$B$4:$N$4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'Agriculture Prod 2008 - 2020'!$B$15:$N$15</c:f>
              <c:numCache>
                <c:formatCode>_("$"* #,##0_);_("$"* \(#,##0\);_("$"* "-"??_);_(@_)</c:formatCode>
                <c:ptCount val="13"/>
                <c:pt idx="0">
                  <c:v>65648.165999999997</c:v>
                </c:pt>
                <c:pt idx="1">
                  <c:v>66690</c:v>
                </c:pt>
                <c:pt idx="2">
                  <c:v>76557.672000000006</c:v>
                </c:pt>
                <c:pt idx="3">
                  <c:v>73158.311000000002</c:v>
                </c:pt>
                <c:pt idx="4">
                  <c:v>94889.813999999998</c:v>
                </c:pt>
                <c:pt idx="5">
                  <c:v>88470.691000000006</c:v>
                </c:pt>
                <c:pt idx="6">
                  <c:v>91178.278000000006</c:v>
                </c:pt>
                <c:pt idx="7">
                  <c:v>96538.134000000005</c:v>
                </c:pt>
                <c:pt idx="8">
                  <c:v>69910.816000000006</c:v>
                </c:pt>
                <c:pt idx="9">
                  <c:v>81765.09</c:v>
                </c:pt>
                <c:pt idx="10">
                  <c:v>74265.89</c:v>
                </c:pt>
                <c:pt idx="11">
                  <c:v>79523.217000000004</c:v>
                </c:pt>
                <c:pt idx="12">
                  <c:v>87498.815000000002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2-47B6-90CD-B7FADA199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3580672"/>
        <c:axId val="113623424"/>
        <c:axId val="0"/>
      </c:bar3DChart>
      <c:catAx>
        <c:axId val="11358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623424"/>
        <c:crosses val="autoZero"/>
        <c:auto val="1"/>
        <c:lblAlgn val="ctr"/>
        <c:lblOffset val="100"/>
        <c:noMultiLvlLbl val="0"/>
      </c:catAx>
      <c:valAx>
        <c:axId val="113623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Bananas ('000 40 pounds per box) </a:t>
                </a:r>
              </a:p>
            </c:rich>
          </c:tx>
          <c:layout>
            <c:manualLayout>
              <c:xMode val="edge"/>
              <c:yMode val="edge"/>
              <c:x val="8.3562335958005399E-2"/>
              <c:y val="0.38177903371834632"/>
            </c:manualLayout>
          </c:layout>
          <c:overlay val="0"/>
        </c:title>
        <c:numFmt formatCode="#,##0_);\(#,##0\)" sourceLinked="1"/>
        <c:majorTickMark val="none"/>
        <c:minorTickMark val="none"/>
        <c:tickLblPos val="nextTo"/>
        <c:crossAx val="113580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NORTH</a:t>
            </a:r>
            <a:r>
              <a:rPr lang="en-BZ" baseline="0"/>
              <a:t> </a:t>
            </a:r>
            <a:r>
              <a:rPr lang="en-BZ"/>
              <a:t> Sugar</a:t>
            </a:r>
            <a:r>
              <a:rPr lang="en-BZ" baseline="0"/>
              <a:t> production and income figures from 2008 to 2020 </a:t>
            </a:r>
          </a:p>
          <a:p>
            <a:pPr>
              <a:defRPr/>
            </a:pPr>
            <a:endParaRPr lang="en-B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'sugar '!$A$2</c:f>
              <c:strCache>
                <c:ptCount val="1"/>
                <c:pt idx="0">
                  <c:v>Sugar Cane ("000 long tons)</c:v>
                </c:pt>
              </c:strCache>
            </c:strRef>
          </c:tx>
          <c:invertIfNegative val="0"/>
          <c:cat>
            <c:strRef>
              <c:f>'sugar '!$B$1:$N$1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</c:strCache>
            </c:strRef>
          </c:cat>
          <c:val>
            <c:numRef>
              <c:f>'sugar '!$B$2:$N$2</c:f>
              <c:numCache>
                <c:formatCode>#,##0_);\(#,##0\)</c:formatCode>
                <c:ptCount val="13"/>
                <c:pt idx="0">
                  <c:v>980</c:v>
                </c:pt>
                <c:pt idx="1">
                  <c:v>918</c:v>
                </c:pt>
                <c:pt idx="2">
                  <c:v>1122.7641799999999</c:v>
                </c:pt>
                <c:pt idx="3">
                  <c:v>843.78599999999994</c:v>
                </c:pt>
                <c:pt idx="4">
                  <c:v>1070.1279999999999</c:v>
                </c:pt>
                <c:pt idx="5">
                  <c:v>1078.0150000000001</c:v>
                </c:pt>
                <c:pt idx="6">
                  <c:v>1214.125</c:v>
                </c:pt>
                <c:pt idx="7">
                  <c:v>1186.154</c:v>
                </c:pt>
                <c:pt idx="8">
                  <c:v>1313.2550000000001</c:v>
                </c:pt>
                <c:pt idx="9">
                  <c:v>1290.056</c:v>
                </c:pt>
                <c:pt idx="10">
                  <c:v>1275.0070000000001</c:v>
                </c:pt>
                <c:pt idx="11">
                  <c:v>1317.626</c:v>
                </c:pt>
                <c:pt idx="12">
                  <c:v>893.66200000000003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0-49F3-ABC5-8F81C5E8E95F}"/>
            </c:ext>
          </c:extLst>
        </c:ser>
        <c:ser>
          <c:idx val="1"/>
          <c:order val="1"/>
          <c:tx>
            <c:strRef>
              <c:f>'sugar '!$A$3</c:f>
              <c:strCache>
                <c:ptCount val="1"/>
                <c:pt idx="0">
                  <c:v>Sugar Cane Income $BZ('000) </c:v>
                </c:pt>
              </c:strCache>
            </c:strRef>
          </c:tx>
          <c:invertIfNegative val="0"/>
          <c:cat>
            <c:strRef>
              <c:f>'sugar '!$B$1:$N$1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</c:strCache>
            </c:strRef>
          </c:cat>
          <c:val>
            <c:numRef>
              <c:f>'sugar '!$B$3:$N$3</c:f>
              <c:numCache>
                <c:formatCode>_("$"* #,##0_);_("$"* \(#,##0\);_("$"* "-"??_);_(@_)</c:formatCode>
                <c:ptCount val="13"/>
                <c:pt idx="0">
                  <c:v>54096</c:v>
                </c:pt>
                <c:pt idx="1">
                  <c:v>61634.520000000004</c:v>
                </c:pt>
                <c:pt idx="2">
                  <c:v>51388.916518599995</c:v>
                </c:pt>
                <c:pt idx="3">
                  <c:v>60896.035619999995</c:v>
                </c:pt>
                <c:pt idx="4">
                  <c:v>77188.332639999993</c:v>
                </c:pt>
                <c:pt idx="5">
                  <c:v>79988.713000000003</c:v>
                </c:pt>
                <c:pt idx="6">
                  <c:v>81977.72</c:v>
                </c:pt>
                <c:pt idx="7">
                  <c:v>90017.227060000005</c:v>
                </c:pt>
                <c:pt idx="8">
                  <c:v>68604.441200000001</c:v>
                </c:pt>
                <c:pt idx="9">
                  <c:v>78112.890799999994</c:v>
                </c:pt>
                <c:pt idx="10">
                  <c:v>57974.568290000003</c:v>
                </c:pt>
                <c:pt idx="11">
                  <c:v>55933.223700000002</c:v>
                </c:pt>
                <c:pt idx="12">
                  <c:v>48927.994500000001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0-49F3-ABC5-8F81C5E8E95F}"/>
            </c:ext>
          </c:extLst>
        </c:ser>
        <c:ser>
          <c:idx val="2"/>
          <c:order val="2"/>
          <c:tx>
            <c:strRef>
              <c:f>'sugar '!$A$4</c:f>
              <c:strCache>
                <c:ptCount val="1"/>
                <c:pt idx="0">
                  <c:v>price </c:v>
                </c:pt>
              </c:strCache>
            </c:strRef>
          </c:tx>
          <c:invertIfNegative val="0"/>
          <c:cat>
            <c:strRef>
              <c:f>'sugar '!$B$1:$N$1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</c:strCache>
            </c:strRef>
          </c:cat>
          <c:val>
            <c:numRef>
              <c:f>'sugar '!$B$4:$N$4</c:f>
            </c:numRef>
          </c:val>
          <c:extLst>
            <c:ext xmlns:c16="http://schemas.microsoft.com/office/drawing/2014/chart" uri="{C3380CC4-5D6E-409C-BE32-E72D297353CC}">
              <c16:uniqueId val="{00000002-0740-49F3-ABC5-8F81C5E8E95F}"/>
            </c:ext>
          </c:extLst>
        </c:ser>
        <c:ser>
          <c:idx val="3"/>
          <c:order val="3"/>
          <c:tx>
            <c:strRef>
              <c:f>'sugar '!$A$5</c:f>
              <c:strCache>
                <c:ptCount val="1"/>
                <c:pt idx="0">
                  <c:v>Sugar ('000 Long Tons)</c:v>
                </c:pt>
              </c:strCache>
            </c:strRef>
          </c:tx>
          <c:invertIfNegative val="0"/>
          <c:cat>
            <c:strRef>
              <c:f>'sugar '!$B$1:$N$1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</c:strCache>
            </c:strRef>
          </c:cat>
          <c:val>
            <c:numRef>
              <c:f>'sugar '!$B$5:$N$5</c:f>
              <c:numCache>
                <c:formatCode>#,##0</c:formatCode>
                <c:ptCount val="13"/>
                <c:pt idx="0">
                  <c:v>66.28</c:v>
                </c:pt>
                <c:pt idx="1">
                  <c:v>77.48</c:v>
                </c:pt>
                <c:pt idx="2">
                  <c:v>72.36</c:v>
                </c:pt>
                <c:pt idx="3">
                  <c:v>81.75</c:v>
                </c:pt>
                <c:pt idx="4">
                  <c:v>97.26</c:v>
                </c:pt>
                <c:pt idx="5">
                  <c:v>105.21</c:v>
                </c:pt>
                <c:pt idx="6">
                  <c:v>105.42</c:v>
                </c:pt>
                <c:pt idx="7">
                  <c:v>125.37</c:v>
                </c:pt>
                <c:pt idx="8" formatCode="_(* #,##0_);_(* \(#,##0\);_(* &quot;-&quot;??_);_(@_)">
                  <c:v>133.84700000000001</c:v>
                </c:pt>
                <c:pt idx="9" formatCode="_(* #,##0_);_(* \(#,##0\);_(* &quot;-&quot;??_);_(@_)">
                  <c:v>144.08600000000001</c:v>
                </c:pt>
                <c:pt idx="10">
                  <c:v>141.03399999999999</c:v>
                </c:pt>
                <c:pt idx="11" formatCode="_(* #,##0_);_(* \(#,##0\);_(* &quot;-&quot;??_);_(@_)">
                  <c:v>154.172</c:v>
                </c:pt>
                <c:pt idx="12">
                  <c:v>87.759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0-49F3-ABC5-8F81C5E8E95F}"/>
            </c:ext>
          </c:extLst>
        </c:ser>
        <c:ser>
          <c:idx val="4"/>
          <c:order val="4"/>
          <c:tx>
            <c:strRef>
              <c:f>'sugar '!$A$6</c:f>
              <c:strCache>
                <c:ptCount val="1"/>
                <c:pt idx="0">
                  <c:v>Sugar Income (million bz$)</c:v>
                </c:pt>
              </c:strCache>
            </c:strRef>
          </c:tx>
          <c:invertIfNegative val="0"/>
          <c:cat>
            <c:strRef>
              <c:f>'sugar '!$B$1:$N$1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</c:strCache>
            </c:strRef>
          </c:cat>
          <c:val>
            <c:numRef>
              <c:f>'sugar '!$B$6:$N$6</c:f>
              <c:numCache>
                <c:formatCode>_("$"* #,##0.00_);_("$"* \(#,##0.00\);_("$"* "-"??_);_(@_)</c:formatCode>
                <c:ptCount val="13"/>
                <c:pt idx="0">
                  <c:v>71.38</c:v>
                </c:pt>
                <c:pt idx="1">
                  <c:v>89.06</c:v>
                </c:pt>
                <c:pt idx="2">
                  <c:v>58.72</c:v>
                </c:pt>
                <c:pt idx="3">
                  <c:v>82.74</c:v>
                </c:pt>
                <c:pt idx="4">
                  <c:v>107.59</c:v>
                </c:pt>
                <c:pt idx="5">
                  <c:v>107.36</c:v>
                </c:pt>
                <c:pt idx="6">
                  <c:v>110.19</c:v>
                </c:pt>
                <c:pt idx="7">
                  <c:v>134.46</c:v>
                </c:pt>
                <c:pt idx="8">
                  <c:v>103.08</c:v>
                </c:pt>
                <c:pt idx="9">
                  <c:v>148.04</c:v>
                </c:pt>
                <c:pt idx="10">
                  <c:v>112.77</c:v>
                </c:pt>
                <c:pt idx="11">
                  <c:v>136.36000000000001</c:v>
                </c:pt>
                <c:pt idx="12">
                  <c:v>111.46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0-49F3-ABC5-8F81C5E8E95F}"/>
            </c:ext>
          </c:extLst>
        </c:ser>
        <c:ser>
          <c:idx val="5"/>
          <c:order val="5"/>
          <c:tx>
            <c:strRef>
              <c:f>'sugar '!$A$7</c:f>
              <c:strCache>
                <c:ptCount val="1"/>
              </c:strCache>
            </c:strRef>
          </c:tx>
          <c:invertIfNegative val="0"/>
          <c:cat>
            <c:strRef>
              <c:f>'sugar '!$B$1:$N$1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</c:strCache>
            </c:strRef>
          </c:cat>
          <c:val>
            <c:numRef>
              <c:f>'sugar '!$B$7:$N$7</c:f>
              <c:numCache>
                <c:formatCode>0.000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5-0740-49F3-ABC5-8F81C5E8E95F}"/>
            </c:ext>
          </c:extLst>
        </c:ser>
        <c:ser>
          <c:idx val="6"/>
          <c:order val="6"/>
          <c:tx>
            <c:strRef>
              <c:f>'sugar '!$A$8</c:f>
              <c:strCache>
                <c:ptCount val="1"/>
              </c:strCache>
            </c:strRef>
          </c:tx>
          <c:invertIfNegative val="0"/>
          <c:cat>
            <c:strRef>
              <c:f>'sugar '!$B$1:$N$1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</c:strCache>
            </c:strRef>
          </c:cat>
          <c:val>
            <c:numRef>
              <c:f>'sugar '!$B$8:$N$8</c:f>
              <c:numCache>
                <c:formatCode>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6-0740-49F3-ABC5-8F81C5E8E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29088"/>
        <c:axId val="116351360"/>
      </c:barChart>
      <c:catAx>
        <c:axId val="116329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6351360"/>
        <c:crosses val="autoZero"/>
        <c:auto val="1"/>
        <c:lblAlgn val="ctr"/>
        <c:lblOffset val="100"/>
        <c:noMultiLvlLbl val="0"/>
      </c:catAx>
      <c:valAx>
        <c:axId val="116351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Values</a:t>
                </a:r>
              </a:p>
            </c:rich>
          </c:tx>
          <c:overlay val="0"/>
        </c:title>
        <c:numFmt formatCode="#,##0_);\(#,##0\)" sourceLinked="1"/>
        <c:majorTickMark val="none"/>
        <c:minorTickMark val="none"/>
        <c:tickLblPos val="nextTo"/>
        <c:crossAx val="1163290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BZ"/>
              <a:t>WEST Sugar production 2016</a:t>
            </a:r>
            <a:r>
              <a:rPr lang="en-BZ" baseline="0"/>
              <a:t> - 2020</a:t>
            </a:r>
            <a:endParaRPr lang="en-BZ"/>
          </a:p>
        </c:rich>
      </c:tx>
      <c:layout>
        <c:manualLayout>
          <c:xMode val="edge"/>
          <c:yMode val="edge"/>
          <c:x val="0.33819797467352997"/>
          <c:y val="2.50000000000000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'sugar '!$A$11</c:f>
              <c:strCache>
                <c:ptCount val="1"/>
                <c:pt idx="0">
                  <c:v>WEST- Sugar cane (tons) </c:v>
                </c:pt>
              </c:strCache>
            </c:strRef>
          </c:tx>
          <c:invertIfNegative val="0"/>
          <c:cat>
            <c:numRef>
              <c:f>'sugar '!$B$10:$F$10</c:f>
              <c:numCache>
                <c:formatCode>0_);\(0\)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'sugar '!$B$11:$F$11</c:f>
              <c:numCache>
                <c:formatCode>_(* #,##0_);_(* \(#,##0\);_(* "-"??_);_(@_)</c:formatCode>
                <c:ptCount val="5"/>
                <c:pt idx="0">
                  <c:v>165146</c:v>
                </c:pt>
                <c:pt idx="1">
                  <c:v>380376</c:v>
                </c:pt>
                <c:pt idx="2">
                  <c:v>432530</c:v>
                </c:pt>
                <c:pt idx="3">
                  <c:v>476403</c:v>
                </c:pt>
                <c:pt idx="4">
                  <c:v>643202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2-4AA2-B022-C3F7DBEA4001}"/>
            </c:ext>
          </c:extLst>
        </c:ser>
        <c:ser>
          <c:idx val="1"/>
          <c:order val="1"/>
          <c:tx>
            <c:strRef>
              <c:f>'sugar '!$A$12</c:f>
              <c:strCache>
                <c:ptCount val="1"/>
              </c:strCache>
            </c:strRef>
          </c:tx>
          <c:invertIfNegative val="0"/>
          <c:cat>
            <c:numRef>
              <c:f>'sugar '!$B$10:$F$10</c:f>
              <c:numCache>
                <c:formatCode>0_);\(0\)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'sugar '!$B$12:$F$12</c:f>
            </c:numRef>
          </c:val>
          <c:extLst>
            <c:ext xmlns:c16="http://schemas.microsoft.com/office/drawing/2014/chart" uri="{C3380CC4-5D6E-409C-BE32-E72D297353CC}">
              <c16:uniqueId val="{00000001-3042-4AA2-B022-C3F7DBEA4001}"/>
            </c:ext>
          </c:extLst>
        </c:ser>
        <c:ser>
          <c:idx val="2"/>
          <c:order val="2"/>
          <c:tx>
            <c:strRef>
              <c:f>'sugar '!$A$13</c:f>
              <c:strCache>
                <c:ptCount val="1"/>
                <c:pt idx="0">
                  <c:v>WEST_ Sugar (tons) </c:v>
                </c:pt>
              </c:strCache>
            </c:strRef>
          </c:tx>
          <c:invertIfNegative val="0"/>
          <c:cat>
            <c:numRef>
              <c:f>'sugar '!$B$10:$F$10</c:f>
              <c:numCache>
                <c:formatCode>0_);\(0\)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'sugar '!$B$13:$F$13</c:f>
              <c:numCache>
                <c:formatCode>_(* #,##0_);_(* \(#,##0\);_(* "-"??_);_(@_)</c:formatCode>
                <c:ptCount val="5"/>
                <c:pt idx="0">
                  <c:v>12399</c:v>
                </c:pt>
                <c:pt idx="1">
                  <c:v>33608</c:v>
                </c:pt>
                <c:pt idx="2">
                  <c:v>37171</c:v>
                </c:pt>
                <c:pt idx="3">
                  <c:v>43971</c:v>
                </c:pt>
                <c:pt idx="4">
                  <c:v>56261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42-4AA2-B022-C3F7DBEA4001}"/>
            </c:ext>
          </c:extLst>
        </c:ser>
        <c:ser>
          <c:idx val="3"/>
          <c:order val="3"/>
          <c:tx>
            <c:strRef>
              <c:f>'sugar '!$A$14</c:f>
              <c:strCache>
                <c:ptCount val="1"/>
              </c:strCache>
            </c:strRef>
          </c:tx>
          <c:invertIfNegative val="0"/>
          <c:cat>
            <c:numRef>
              <c:f>'sugar '!$B$10:$F$10</c:f>
              <c:numCache>
                <c:formatCode>0_);\(0\)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'sugar '!$B$14:$F$14</c:f>
            </c:numRef>
          </c:val>
          <c:extLst>
            <c:ext xmlns:c16="http://schemas.microsoft.com/office/drawing/2014/chart" uri="{C3380CC4-5D6E-409C-BE32-E72D297353CC}">
              <c16:uniqueId val="{00000003-3042-4AA2-B022-C3F7DBEA4001}"/>
            </c:ext>
          </c:extLst>
        </c:ser>
        <c:ser>
          <c:idx val="4"/>
          <c:order val="4"/>
          <c:tx>
            <c:strRef>
              <c:f>'sugar '!$A$15</c:f>
              <c:strCache>
                <c:ptCount val="1"/>
                <c:pt idx="0">
                  <c:v>WEST- Molasses M. Tons</c:v>
                </c:pt>
              </c:strCache>
            </c:strRef>
          </c:tx>
          <c:invertIfNegative val="0"/>
          <c:cat>
            <c:numRef>
              <c:f>'sugar '!$B$10:$F$10</c:f>
              <c:numCache>
                <c:formatCode>0_);\(0\)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'sugar '!$B$15:$F$15</c:f>
              <c:numCache>
                <c:formatCode>_(* #,##0_);_(* \(#,##0\);_(* "-"??_);_(@_)</c:formatCode>
                <c:ptCount val="5"/>
                <c:pt idx="0">
                  <c:v>6311</c:v>
                </c:pt>
                <c:pt idx="1">
                  <c:v>16809</c:v>
                </c:pt>
                <c:pt idx="2">
                  <c:v>16892</c:v>
                </c:pt>
                <c:pt idx="3">
                  <c:v>19003</c:v>
                </c:pt>
                <c:pt idx="4">
                  <c:v>26427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42-4AA2-B022-C3F7DBEA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76320"/>
        <c:axId val="116377856"/>
      </c:barChart>
      <c:catAx>
        <c:axId val="116376320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crossAx val="116377856"/>
        <c:crosses val="autoZero"/>
        <c:auto val="1"/>
        <c:lblAlgn val="ctr"/>
        <c:lblOffset val="100"/>
        <c:noMultiLvlLbl val="1"/>
      </c:catAx>
      <c:valAx>
        <c:axId val="116377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BZ"/>
                  <a:t>Values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116376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0</xdr:row>
      <xdr:rowOff>19049</xdr:rowOff>
    </xdr:from>
    <xdr:to>
      <xdr:col>14</xdr:col>
      <xdr:colOff>504824</xdr:colOff>
      <xdr:row>42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114299</xdr:rowOff>
    </xdr:from>
    <xdr:to>
      <xdr:col>10</xdr:col>
      <xdr:colOff>333375</xdr:colOff>
      <xdr:row>41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352423</xdr:colOff>
      <xdr:row>2</xdr:row>
      <xdr:rowOff>85725</xdr:rowOff>
    </xdr:from>
    <xdr:to>
      <xdr:col>23</xdr:col>
      <xdr:colOff>352425</xdr:colOff>
      <xdr:row>32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</xdr:row>
      <xdr:rowOff>152399</xdr:rowOff>
    </xdr:from>
    <xdr:to>
      <xdr:col>12</xdr:col>
      <xdr:colOff>1047750</xdr:colOff>
      <xdr:row>33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12</xdr:row>
      <xdr:rowOff>9524</xdr:rowOff>
    </xdr:from>
    <xdr:to>
      <xdr:col>15</xdr:col>
      <xdr:colOff>523874</xdr:colOff>
      <xdr:row>44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57150</xdr:colOff>
      <xdr:row>6</xdr:row>
      <xdr:rowOff>114300</xdr:rowOff>
    </xdr:from>
    <xdr:to>
      <xdr:col>26</xdr:col>
      <xdr:colOff>114300</xdr:colOff>
      <xdr:row>27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0</xdr:rowOff>
    </xdr:from>
    <xdr:to>
      <xdr:col>13</xdr:col>
      <xdr:colOff>438150</xdr:colOff>
      <xdr:row>31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685799</xdr:colOff>
      <xdr:row>0</xdr:row>
      <xdr:rowOff>0</xdr:rowOff>
    </xdr:from>
    <xdr:to>
      <xdr:col>11</xdr:col>
      <xdr:colOff>19050</xdr:colOff>
      <xdr:row>35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5</xdr:row>
      <xdr:rowOff>0</xdr:rowOff>
    </xdr:from>
    <xdr:to>
      <xdr:col>13</xdr:col>
      <xdr:colOff>200024</xdr:colOff>
      <xdr:row>24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1285873</xdr:colOff>
      <xdr:row>6</xdr:row>
      <xdr:rowOff>28575</xdr:rowOff>
    </xdr:from>
    <xdr:to>
      <xdr:col>14</xdr:col>
      <xdr:colOff>133349</xdr:colOff>
      <xdr:row>22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18</xdr:col>
      <xdr:colOff>0</xdr:colOff>
      <xdr:row>45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47625</xdr:rowOff>
    </xdr:from>
    <xdr:to>
      <xdr:col>15</xdr:col>
      <xdr:colOff>161925</xdr:colOff>
      <xdr:row>56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25</xdr:col>
      <xdr:colOff>217488</xdr:colOff>
      <xdr:row>46</xdr:row>
      <xdr:rowOff>92076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9525</xdr:rowOff>
    </xdr:from>
    <xdr:to>
      <xdr:col>8</xdr:col>
      <xdr:colOff>28575</xdr:colOff>
      <xdr:row>31</xdr:row>
      <xdr:rowOff>9525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7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161925"/>
          <a:ext cx="4638675" cy="4572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200025</xdr:colOff>
      <xdr:row>22</xdr:row>
      <xdr:rowOff>3175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2</xdr:row>
      <xdr:rowOff>57151</xdr:rowOff>
    </xdr:from>
    <xdr:to>
      <xdr:col>15</xdr:col>
      <xdr:colOff>590549</xdr:colOff>
      <xdr:row>33</xdr:row>
      <xdr:rowOff>50801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685799</xdr:colOff>
      <xdr:row>5</xdr:row>
      <xdr:rowOff>0</xdr:rowOff>
    </xdr:from>
    <xdr:to>
      <xdr:col>16</xdr:col>
      <xdr:colOff>257175</xdr:colOff>
      <xdr:row>34</xdr:row>
      <xdr:rowOff>136525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19</xdr:row>
      <xdr:rowOff>76200</xdr:rowOff>
    </xdr:from>
    <xdr:to>
      <xdr:col>8</xdr:col>
      <xdr:colOff>342900</xdr:colOff>
      <xdr:row>48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1242483</xdr:colOff>
      <xdr:row>50</xdr:row>
      <xdr:rowOff>143934</xdr:rowOff>
    </xdr:from>
    <xdr:to>
      <xdr:col>8</xdr:col>
      <xdr:colOff>31749</xdr:colOff>
      <xdr:row>74</xdr:row>
      <xdr:rowOff>143934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899583</xdr:colOff>
      <xdr:row>18</xdr:row>
      <xdr:rowOff>116417</xdr:rowOff>
    </xdr:from>
    <xdr:to>
      <xdr:col>22</xdr:col>
      <xdr:colOff>0</xdr:colOff>
      <xdr:row>40</xdr:row>
      <xdr:rowOff>21166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</xdr:row>
      <xdr:rowOff>28575</xdr:rowOff>
    </xdr:from>
    <xdr:to>
      <xdr:col>15</xdr:col>
      <xdr:colOff>685799</xdr:colOff>
      <xdr:row>31</xdr:row>
      <xdr:rowOff>60325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</xdr:row>
      <xdr:rowOff>19050</xdr:rowOff>
    </xdr:from>
    <xdr:to>
      <xdr:col>15</xdr:col>
      <xdr:colOff>152400</xdr:colOff>
      <xdr:row>28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al%20Sector/FAME/Database/Historical%20Data/Agricultural%20Production/Agricultural%20Production%202001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-2011 (INPUT)"/>
    </sheetNames>
    <sheetDataSet>
      <sheetData sheetId="0" refreshError="1">
        <row r="306">
          <cell r="D306">
            <v>10880</v>
          </cell>
          <cell r="I306">
            <v>8401</v>
          </cell>
          <cell r="J306">
            <v>7961</v>
          </cell>
          <cell r="K306">
            <v>7414</v>
          </cell>
          <cell r="L306">
            <v>7861</v>
          </cell>
        </row>
        <row r="308">
          <cell r="I308">
            <v>3780450</v>
          </cell>
          <cell r="J308">
            <v>3582450</v>
          </cell>
          <cell r="K308">
            <v>3336480</v>
          </cell>
          <cell r="L308">
            <v>3537450</v>
          </cell>
        </row>
        <row r="311">
          <cell r="I311">
            <v>6437593</v>
          </cell>
          <cell r="J311">
            <v>8276859</v>
          </cell>
          <cell r="K311">
            <v>7330679</v>
          </cell>
          <cell r="L311">
            <v>8697623</v>
          </cell>
        </row>
        <row r="314">
          <cell r="I314">
            <v>63315</v>
          </cell>
          <cell r="J314">
            <v>130345</v>
          </cell>
          <cell r="K314">
            <v>89203</v>
          </cell>
          <cell r="L314">
            <v>130495</v>
          </cell>
        </row>
        <row r="319">
          <cell r="I319">
            <v>19602</v>
          </cell>
          <cell r="J319">
            <v>21953</v>
          </cell>
          <cell r="K319">
            <v>22415</v>
          </cell>
          <cell r="L319">
            <v>21704</v>
          </cell>
        </row>
        <row r="321">
          <cell r="I321">
            <v>2352240</v>
          </cell>
          <cell r="J321">
            <v>2634360</v>
          </cell>
          <cell r="K321">
            <v>2689758</v>
          </cell>
          <cell r="L321">
            <v>2604480</v>
          </cell>
        </row>
        <row r="330">
          <cell r="I330">
            <v>8329011</v>
          </cell>
          <cell r="J330">
            <v>8428611</v>
          </cell>
          <cell r="K330">
            <v>8589552</v>
          </cell>
          <cell r="L330">
            <v>8816623</v>
          </cell>
        </row>
        <row r="332">
          <cell r="I332">
            <v>27767402</v>
          </cell>
          <cell r="J332">
            <v>28577082</v>
          </cell>
          <cell r="K332">
            <v>30112764</v>
          </cell>
          <cell r="L332">
            <v>30578971</v>
          </cell>
        </row>
        <row r="335">
          <cell r="I335">
            <v>3373885</v>
          </cell>
          <cell r="J335">
            <v>3427440</v>
          </cell>
          <cell r="K335">
            <v>4033692</v>
          </cell>
          <cell r="L335">
            <v>3533962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N64"/>
  <sheetViews>
    <sheetView showGridLines="0" workbookViewId="0">
      <pane xSplit="2" ySplit="4" topLeftCell="C5" activePane="bottomRight" state="frozen"/>
      <selection pane="topRight" activeCell="C1" sqref="C1"/>
      <selection pane="bottomLeft" activeCell="A8" sqref="A8"/>
      <selection pane="bottomRight" activeCell="B17" sqref="B17"/>
    </sheetView>
  </sheetViews>
  <sheetFormatPr defaultColWidth="9.625" defaultRowHeight="12"/>
  <cols>
    <col min="1" max="1" width="22.75" customWidth="1"/>
    <col min="2" max="2" width="9.25" customWidth="1"/>
    <col min="3" max="13" width="9" customWidth="1"/>
    <col min="14" max="14" width="18.125" bestFit="1" customWidth="1"/>
  </cols>
  <sheetData>
    <row r="1" spans="1:14" ht="18" customHeight="1">
      <c r="A1" s="20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5.7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8" customHeight="1">
      <c r="A4" s="3"/>
      <c r="B4" s="4"/>
      <c r="C4" s="26" t="s">
        <v>6</v>
      </c>
      <c r="D4" s="26" t="s">
        <v>7</v>
      </c>
      <c r="E4" s="26" t="s">
        <v>8</v>
      </c>
      <c r="F4" s="26" t="s">
        <v>9</v>
      </c>
      <c r="G4" s="26" t="s">
        <v>10</v>
      </c>
      <c r="H4" s="26" t="s">
        <v>11</v>
      </c>
      <c r="I4" s="26" t="s">
        <v>12</v>
      </c>
      <c r="J4" s="26" t="s">
        <v>13</v>
      </c>
      <c r="K4" s="26" t="s">
        <v>14</v>
      </c>
      <c r="L4" s="26" t="s">
        <v>15</v>
      </c>
      <c r="M4" s="26" t="s">
        <v>16</v>
      </c>
    </row>
    <row r="5" spans="1:14" ht="18" customHeight="1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ht="13.5" customHeight="1">
      <c r="A6" s="30" t="s">
        <v>36</v>
      </c>
      <c r="B6" s="12"/>
      <c r="C6" s="12">
        <v>1014</v>
      </c>
      <c r="D6" s="12">
        <v>970</v>
      </c>
      <c r="E6" s="12">
        <v>1096</v>
      </c>
      <c r="F6" s="12">
        <v>1132</v>
      </c>
      <c r="G6" s="12">
        <v>1022</v>
      </c>
      <c r="H6" s="12">
        <v>962</v>
      </c>
      <c r="I6" s="12">
        <v>854</v>
      </c>
      <c r="J6" s="12">
        <v>789</v>
      </c>
      <c r="K6" s="12">
        <v>777</v>
      </c>
      <c r="L6" s="12">
        <v>925</v>
      </c>
      <c r="M6" s="12">
        <v>1072</v>
      </c>
      <c r="N6" s="9"/>
    </row>
    <row r="7" spans="1:14" ht="13.5" customHeight="1">
      <c r="A7" s="30" t="s">
        <v>37</v>
      </c>
      <c r="B7" s="12"/>
      <c r="C7" s="12">
        <v>1109</v>
      </c>
      <c r="D7" s="12">
        <v>1063</v>
      </c>
      <c r="E7" s="12">
        <v>1058</v>
      </c>
      <c r="F7" s="12">
        <v>750</v>
      </c>
      <c r="G7" s="12">
        <v>1124</v>
      </c>
      <c r="H7" s="12">
        <v>1043</v>
      </c>
      <c r="I7" s="12">
        <v>1265</v>
      </c>
      <c r="J7" s="12">
        <v>1791</v>
      </c>
      <c r="K7" s="12">
        <v>1338</v>
      </c>
      <c r="L7" s="12">
        <v>1448</v>
      </c>
      <c r="M7" s="12">
        <v>1696</v>
      </c>
      <c r="N7" s="9"/>
    </row>
    <row r="8" spans="1:14" ht="13.5" customHeight="1">
      <c r="A8" s="30" t="s">
        <v>38</v>
      </c>
      <c r="B8" s="12"/>
      <c r="C8" s="12">
        <v>408</v>
      </c>
      <c r="D8" s="12">
        <v>586</v>
      </c>
      <c r="E8" s="12">
        <v>703</v>
      </c>
      <c r="F8" s="12">
        <v>178</v>
      </c>
      <c r="G8" s="12">
        <v>317</v>
      </c>
      <c r="H8" s="12">
        <v>476</v>
      </c>
      <c r="I8" s="12">
        <v>650</v>
      </c>
      <c r="J8" s="12">
        <v>906</v>
      </c>
      <c r="K8" s="12">
        <v>841</v>
      </c>
      <c r="L8" s="12">
        <v>889</v>
      </c>
      <c r="M8" s="12">
        <v>1103</v>
      </c>
    </row>
    <row r="9" spans="1:14" ht="13.5" customHeight="1">
      <c r="A9" s="30" t="s">
        <v>39</v>
      </c>
      <c r="B9" s="12"/>
      <c r="C9" s="12">
        <v>41500</v>
      </c>
      <c r="D9" s="12">
        <v>46600</v>
      </c>
      <c r="E9" s="12">
        <v>46700</v>
      </c>
      <c r="F9" s="12">
        <v>38800</v>
      </c>
      <c r="G9" s="12">
        <v>35622</v>
      </c>
      <c r="H9" s="12">
        <v>43280</v>
      </c>
      <c r="I9" s="12">
        <v>40747</v>
      </c>
      <c r="J9" s="12">
        <v>51203</v>
      </c>
      <c r="K9" s="12">
        <v>50973</v>
      </c>
      <c r="L9" s="12">
        <v>51105</v>
      </c>
      <c r="M9" s="12">
        <v>41162</v>
      </c>
    </row>
    <row r="10" spans="1:14" ht="13.5" customHeight="1">
      <c r="A10" s="30" t="s">
        <v>40</v>
      </c>
      <c r="B10" s="12"/>
      <c r="C10" s="12">
        <v>19000</v>
      </c>
      <c r="D10" s="12">
        <v>23890</v>
      </c>
      <c r="E10" s="12">
        <v>17800</v>
      </c>
      <c r="F10" s="12">
        <v>9200</v>
      </c>
      <c r="G10" s="12">
        <v>12507</v>
      </c>
      <c r="H10" s="12">
        <v>12334</v>
      </c>
      <c r="I10" s="12">
        <v>9712</v>
      </c>
      <c r="J10" s="12">
        <v>10126</v>
      </c>
      <c r="K10" s="12">
        <v>12237</v>
      </c>
      <c r="L10" s="12">
        <v>11115</v>
      </c>
      <c r="M10" s="12">
        <v>10172</v>
      </c>
    </row>
    <row r="11" spans="1:14" ht="13.5" customHeight="1">
      <c r="A11" s="30" t="s">
        <v>52</v>
      </c>
      <c r="B11" s="12"/>
      <c r="C11" s="12">
        <v>3073</v>
      </c>
      <c r="D11" s="12">
        <v>3809</v>
      </c>
      <c r="E11" s="12">
        <v>3900</v>
      </c>
      <c r="F11" s="12">
        <v>3400</v>
      </c>
      <c r="G11" s="12">
        <v>2834</v>
      </c>
      <c r="H11" s="12">
        <v>2343</v>
      </c>
      <c r="I11" s="12">
        <v>4007</v>
      </c>
      <c r="J11" s="12">
        <v>5325</v>
      </c>
      <c r="K11" s="12">
        <v>4972</v>
      </c>
      <c r="L11" s="12">
        <v>9280</v>
      </c>
      <c r="M11" s="12">
        <v>5660</v>
      </c>
    </row>
    <row r="12" spans="1:14" ht="13.5" customHeight="1">
      <c r="A12" s="30" t="s">
        <v>41</v>
      </c>
      <c r="B12" s="12"/>
      <c r="C12" s="12">
        <v>803</v>
      </c>
      <c r="D12" s="12">
        <v>564</v>
      </c>
      <c r="E12" s="12">
        <v>536</v>
      </c>
      <c r="F12" s="12">
        <v>543</v>
      </c>
      <c r="G12" s="12">
        <v>568</v>
      </c>
      <c r="H12" s="12">
        <v>555</v>
      </c>
      <c r="I12" s="12">
        <v>687</v>
      </c>
      <c r="J12" s="12">
        <v>1183</v>
      </c>
      <c r="K12" s="12">
        <v>1457</v>
      </c>
      <c r="L12" s="12">
        <v>1551</v>
      </c>
      <c r="M12" s="12">
        <v>1486</v>
      </c>
    </row>
    <row r="13" spans="1:14" ht="13.5" customHeight="1">
      <c r="A13" s="30" t="s">
        <v>42</v>
      </c>
      <c r="B13" s="12"/>
      <c r="C13" s="12">
        <v>12000</v>
      </c>
      <c r="D13" s="12">
        <v>9100</v>
      </c>
      <c r="E13" s="12">
        <v>39000</v>
      </c>
      <c r="F13" s="12">
        <v>107500</v>
      </c>
      <c r="G13" s="12">
        <v>122800</v>
      </c>
      <c r="H13" s="12">
        <v>142125</v>
      </c>
      <c r="I13" s="12">
        <v>176515</v>
      </c>
      <c r="J13" s="12">
        <v>146370</v>
      </c>
      <c r="K13" s="12">
        <v>126300</v>
      </c>
      <c r="L13" s="12">
        <v>184472</v>
      </c>
      <c r="M13" s="12">
        <v>367914</v>
      </c>
    </row>
    <row r="14" spans="1:14" ht="14.25" customHeight="1">
      <c r="A14" s="13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4" ht="13.5" customHeight="1">
      <c r="A15" s="12" t="s">
        <v>33</v>
      </c>
      <c r="B15" s="12"/>
      <c r="C15" s="12">
        <v>6600</v>
      </c>
      <c r="D15" s="12">
        <v>6400</v>
      </c>
      <c r="E15" s="12">
        <v>6042</v>
      </c>
      <c r="F15" s="12">
        <v>5820</v>
      </c>
      <c r="G15" s="12">
        <v>6198</v>
      </c>
      <c r="H15" s="12">
        <v>7552</v>
      </c>
      <c r="I15" s="12">
        <v>7091</v>
      </c>
      <c r="J15" s="12">
        <v>8317</v>
      </c>
      <c r="K15" s="12">
        <v>7459</v>
      </c>
      <c r="L15" s="12">
        <v>6423</v>
      </c>
      <c r="M15" s="12">
        <v>7870</v>
      </c>
    </row>
    <row r="16" spans="1:14" ht="13.5" customHeight="1">
      <c r="A16" s="12" t="s">
        <v>50</v>
      </c>
      <c r="B16" s="12"/>
      <c r="C16" s="12">
        <v>2310</v>
      </c>
      <c r="D16" s="12">
        <v>2216</v>
      </c>
      <c r="E16" s="12">
        <v>1933</v>
      </c>
      <c r="F16" s="12">
        <v>2100</v>
      </c>
      <c r="G16" s="12">
        <v>2238</v>
      </c>
      <c r="H16" s="12">
        <v>2721</v>
      </c>
      <c r="I16" s="12">
        <v>2441</v>
      </c>
      <c r="J16" s="12">
        <v>2932</v>
      </c>
      <c r="K16" s="12">
        <v>2007</v>
      </c>
      <c r="L16" s="12">
        <v>2109</v>
      </c>
      <c r="M16" s="12">
        <v>3222</v>
      </c>
    </row>
    <row r="17" spans="1:13" ht="13.5" customHeight="1">
      <c r="A17" s="12" t="s">
        <v>34</v>
      </c>
      <c r="B17" s="12"/>
      <c r="C17" s="12"/>
      <c r="D17" s="12">
        <v>6490</v>
      </c>
      <c r="E17" s="12">
        <v>5773</v>
      </c>
      <c r="F17" s="12">
        <v>5658</v>
      </c>
      <c r="G17" s="12">
        <v>6251</v>
      </c>
      <c r="H17" s="12">
        <v>6353</v>
      </c>
      <c r="I17" s="12">
        <v>6411</v>
      </c>
      <c r="J17" s="12">
        <v>8030</v>
      </c>
      <c r="K17" s="12">
        <v>8160</v>
      </c>
      <c r="L17" s="12">
        <v>6951</v>
      </c>
      <c r="M17" s="12">
        <v>11553</v>
      </c>
    </row>
    <row r="18" spans="1:13" ht="13.5" customHeight="1">
      <c r="A18" s="12" t="s">
        <v>50</v>
      </c>
      <c r="B18" s="12"/>
      <c r="C18" s="12">
        <v>487</v>
      </c>
      <c r="D18" s="12">
        <v>365</v>
      </c>
      <c r="E18" s="12">
        <v>332</v>
      </c>
      <c r="F18" s="12">
        <v>495</v>
      </c>
      <c r="G18" s="12">
        <v>589</v>
      </c>
      <c r="H18" s="12">
        <v>662</v>
      </c>
      <c r="I18" s="12">
        <v>660</v>
      </c>
      <c r="J18" s="12">
        <v>832</v>
      </c>
      <c r="K18" s="12">
        <v>915</v>
      </c>
      <c r="L18" s="12">
        <v>769</v>
      </c>
      <c r="M18" s="12">
        <v>1430</v>
      </c>
    </row>
    <row r="19" spans="1:13" ht="13.5" customHeight="1">
      <c r="A19" s="12" t="s">
        <v>51</v>
      </c>
      <c r="B19" s="12"/>
      <c r="C19" s="12">
        <v>1405</v>
      </c>
      <c r="D19" s="12">
        <v>1534</v>
      </c>
      <c r="E19" s="12">
        <v>1789</v>
      </c>
      <c r="F19" s="12">
        <v>1929</v>
      </c>
      <c r="G19" s="12">
        <v>1968</v>
      </c>
      <c r="H19" s="12">
        <v>2002</v>
      </c>
      <c r="I19" s="12">
        <v>2250</v>
      </c>
      <c r="J19" s="12">
        <v>3030</v>
      </c>
      <c r="K19" s="12">
        <v>2831</v>
      </c>
      <c r="L19" s="12">
        <v>2590</v>
      </c>
      <c r="M19" s="12">
        <v>3882</v>
      </c>
    </row>
    <row r="20" spans="1:13" ht="13.5" customHeight="1">
      <c r="A20" s="12" t="s">
        <v>50</v>
      </c>
      <c r="B20" s="12"/>
      <c r="C20" s="12">
        <v>4300</v>
      </c>
      <c r="D20" s="12">
        <v>5216</v>
      </c>
      <c r="E20" s="12">
        <v>6060</v>
      </c>
      <c r="F20" s="12">
        <v>6477</v>
      </c>
      <c r="G20" s="12">
        <v>6672</v>
      </c>
      <c r="H20" s="12">
        <v>6757</v>
      </c>
      <c r="I20" s="12">
        <v>6888</v>
      </c>
      <c r="J20" s="12">
        <v>8786</v>
      </c>
      <c r="K20" s="12">
        <v>11120</v>
      </c>
      <c r="L20" s="12">
        <v>7450</v>
      </c>
      <c r="M20" s="12">
        <v>13489</v>
      </c>
    </row>
    <row r="21" spans="1:13" ht="13.5" customHeight="1">
      <c r="A21" s="12" t="s">
        <v>43</v>
      </c>
      <c r="B21" s="12"/>
      <c r="C21" s="12">
        <v>616</v>
      </c>
      <c r="D21" s="12">
        <v>649</v>
      </c>
      <c r="E21" s="12">
        <v>701</v>
      </c>
      <c r="F21" s="12">
        <v>975</v>
      </c>
      <c r="G21" s="12">
        <v>1169</v>
      </c>
      <c r="H21" s="12">
        <v>1244</v>
      </c>
      <c r="I21" s="12">
        <v>2295</v>
      </c>
      <c r="J21" s="12">
        <v>2164</v>
      </c>
      <c r="K21" s="12">
        <v>2581</v>
      </c>
      <c r="L21" s="12">
        <v>2373</v>
      </c>
      <c r="M21" s="12">
        <v>2735</v>
      </c>
    </row>
    <row r="22" spans="1:13" ht="13.5" customHeight="1">
      <c r="A22" s="12" t="s">
        <v>44</v>
      </c>
      <c r="B22" s="12"/>
      <c r="C22" s="12">
        <v>552</v>
      </c>
      <c r="D22" s="12">
        <v>533</v>
      </c>
      <c r="E22" s="12">
        <v>499</v>
      </c>
      <c r="F22" s="12">
        <v>603</v>
      </c>
      <c r="G22" s="12">
        <v>632</v>
      </c>
      <c r="H22" s="12">
        <v>673</v>
      </c>
      <c r="I22" s="12">
        <v>678</v>
      </c>
      <c r="J22" s="12">
        <v>642</v>
      </c>
      <c r="K22" s="12">
        <v>484</v>
      </c>
      <c r="L22" s="12">
        <v>206</v>
      </c>
      <c r="M22" s="12">
        <v>159</v>
      </c>
    </row>
    <row r="23" spans="1:13" ht="13.5" customHeight="1">
      <c r="A23" s="12" t="s">
        <v>45</v>
      </c>
      <c r="B23" s="12"/>
      <c r="C23" s="12">
        <v>1747</v>
      </c>
      <c r="D23" s="12">
        <v>1800</v>
      </c>
      <c r="E23" s="12">
        <v>1739</v>
      </c>
      <c r="F23" s="12">
        <v>1830</v>
      </c>
      <c r="G23" s="12">
        <v>1877</v>
      </c>
      <c r="H23" s="12">
        <v>1881</v>
      </c>
      <c r="I23" s="12">
        <v>1926</v>
      </c>
      <c r="J23" s="12">
        <v>1958</v>
      </c>
      <c r="K23" s="12">
        <v>1996</v>
      </c>
      <c r="L23" s="12">
        <v>2062</v>
      </c>
      <c r="M23" s="12">
        <v>2087</v>
      </c>
    </row>
    <row r="24" spans="1:13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75">
      <c r="A26" s="24" t="s">
        <v>5</v>
      </c>
      <c r="B26" s="20"/>
      <c r="C26" s="23"/>
      <c r="D26" s="23"/>
      <c r="E26" s="23"/>
      <c r="F26" s="22"/>
      <c r="G26" s="23"/>
      <c r="H26" s="23"/>
      <c r="I26" s="23"/>
      <c r="J26" s="23"/>
      <c r="K26" s="23"/>
      <c r="L26" s="23"/>
      <c r="M26" s="23"/>
    </row>
    <row r="27" spans="1:13" ht="12.75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" customHeight="1">
      <c r="A28" s="6"/>
      <c r="B28" s="7" t="s">
        <v>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8" customHeight="1">
      <c r="A29" s="5"/>
      <c r="B29" s="8" t="s">
        <v>3</v>
      </c>
      <c r="C29" s="27" t="s">
        <v>6</v>
      </c>
      <c r="D29" s="27" t="s">
        <v>7</v>
      </c>
      <c r="E29" s="27" t="s">
        <v>8</v>
      </c>
      <c r="F29" s="27" t="s">
        <v>9</v>
      </c>
      <c r="G29" s="27" t="s">
        <v>10</v>
      </c>
      <c r="H29" s="27" t="s">
        <v>11</v>
      </c>
      <c r="I29" s="27" t="s">
        <v>12</v>
      </c>
      <c r="J29" s="27" t="s">
        <v>13</v>
      </c>
      <c r="K29" s="27" t="s">
        <v>14</v>
      </c>
      <c r="L29" s="27" t="s">
        <v>15</v>
      </c>
      <c r="M29" s="27" t="s">
        <v>16</v>
      </c>
    </row>
    <row r="30" spans="1:13" ht="17.25" customHeight="1">
      <c r="A30" s="11" t="s">
        <v>46</v>
      </c>
      <c r="B30" s="15">
        <v>81.900000000000006</v>
      </c>
      <c r="C30" s="15">
        <v>42.1</v>
      </c>
      <c r="D30" s="15">
        <v>40.299999999999997</v>
      </c>
      <c r="E30" s="15">
        <v>42</v>
      </c>
      <c r="F30" s="15">
        <v>38.4</v>
      </c>
      <c r="G30" s="15">
        <v>37.799999999999997</v>
      </c>
      <c r="H30" s="15">
        <v>37</v>
      </c>
      <c r="I30" s="15">
        <v>37.799999999999997</v>
      </c>
      <c r="J30" s="15">
        <v>46.7</v>
      </c>
      <c r="K30" s="15">
        <v>48.1</v>
      </c>
      <c r="L30" s="15">
        <v>55.2</v>
      </c>
      <c r="M30" s="15">
        <v>55.3</v>
      </c>
    </row>
    <row r="31" spans="1:13" ht="13.5" customHeight="1">
      <c r="A31" s="12" t="s">
        <v>47</v>
      </c>
      <c r="B31" s="16">
        <v>18.100000000000001</v>
      </c>
      <c r="C31" s="16">
        <v>57.4</v>
      </c>
      <c r="D31" s="16">
        <v>58.3</v>
      </c>
      <c r="E31" s="16">
        <v>56.1</v>
      </c>
      <c r="F31" s="16">
        <v>61.1</v>
      </c>
      <c r="G31" s="16">
        <v>64.3</v>
      </c>
      <c r="H31" s="16">
        <v>72.5</v>
      </c>
      <c r="I31" s="16">
        <v>69.400000000000006</v>
      </c>
      <c r="J31" s="16">
        <v>82.3</v>
      </c>
      <c r="K31" s="16">
        <v>74.3</v>
      </c>
      <c r="L31" s="16">
        <v>63.6</v>
      </c>
      <c r="M31" s="16">
        <v>98.9</v>
      </c>
    </row>
    <row r="32" spans="1:13" s="2" customFormat="1" ht="13.5" customHeight="1">
      <c r="A32" s="13" t="s">
        <v>4</v>
      </c>
      <c r="B32" s="18">
        <v>100</v>
      </c>
      <c r="C32" s="18">
        <v>44.9</v>
      </c>
      <c r="D32" s="18">
        <v>43.5</v>
      </c>
      <c r="E32" s="18">
        <v>44.6</v>
      </c>
      <c r="F32" s="18">
        <v>42.5</v>
      </c>
      <c r="G32" s="18">
        <v>42.6</v>
      </c>
      <c r="H32" s="18">
        <v>43.4</v>
      </c>
      <c r="I32" s="18">
        <v>43.5</v>
      </c>
      <c r="J32" s="18">
        <v>53.1</v>
      </c>
      <c r="K32" s="18">
        <v>52.9</v>
      </c>
      <c r="L32" s="18">
        <v>56.7</v>
      </c>
      <c r="M32" s="18">
        <v>63.2</v>
      </c>
    </row>
    <row r="33" spans="1:13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</sheetData>
  <printOptions horizontalCentered="1"/>
  <pageMargins left="0.5" right="0.5" top="0.5" bottom="0.5" header="0.5" footer="0.25"/>
  <pageSetup scale="91" orientation="landscape" r:id="rId1"/>
  <headerFooter alignWithMargins="0">
    <oddHeader>&amp;C&amp;"CG Times (PCL6),Bold"&amp;12</oddHeader>
    <oddFooter>&amp;C&amp;"Arial,Regular"&amp;P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L39" sqref="L39"/>
    </sheetView>
  </sheetViews>
  <sheetFormatPr defaultRowHeight="1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7"/>
  <sheetViews>
    <sheetView topLeftCell="A18" zoomScale="90" zoomScaleNormal="90" workbookViewId="0">
      <selection activeCell="A55" sqref="A55"/>
    </sheetView>
  </sheetViews>
  <sheetFormatPr defaultRowHeight="12"/>
  <cols>
    <col min="1" max="1" width="34.5" customWidth="1"/>
    <col min="2" max="3" width="14.5" bestFit="1" customWidth="1"/>
    <col min="4" max="4" width="13.125" bestFit="1" customWidth="1"/>
    <col min="5" max="5" width="15.75" customWidth="1"/>
    <col min="6" max="6" width="14.5" bestFit="1" customWidth="1"/>
    <col min="7" max="7" width="14.375" bestFit="1" customWidth="1"/>
    <col min="8" max="8" width="14.875" customWidth="1"/>
    <col min="9" max="11" width="14.375" bestFit="1" customWidth="1"/>
    <col min="12" max="13" width="11.875" customWidth="1"/>
    <col min="14" max="14" width="14.375" bestFit="1" customWidth="1"/>
    <col min="15" max="16" width="11.875" bestFit="1" customWidth="1"/>
    <col min="21" max="21" width="9.25" customWidth="1"/>
  </cols>
  <sheetData>
    <row r="1" spans="1:21" ht="12.75">
      <c r="B1" s="54" t="s">
        <v>28</v>
      </c>
      <c r="C1" s="54" t="s">
        <v>29</v>
      </c>
      <c r="D1" s="54" t="s">
        <v>30</v>
      </c>
      <c r="E1" s="54" t="s">
        <v>31</v>
      </c>
      <c r="F1" s="54" t="s">
        <v>32</v>
      </c>
      <c r="G1" s="54" t="s">
        <v>57</v>
      </c>
      <c r="H1" s="54" t="s">
        <v>58</v>
      </c>
      <c r="I1" s="54" t="s">
        <v>59</v>
      </c>
      <c r="J1" s="130">
        <v>2016</v>
      </c>
      <c r="K1" s="130">
        <v>2017</v>
      </c>
      <c r="L1" s="130">
        <v>2018</v>
      </c>
      <c r="M1" s="130">
        <v>2019</v>
      </c>
      <c r="N1" s="130">
        <v>2020</v>
      </c>
    </row>
    <row r="2" spans="1:21" ht="13.5" customHeight="1">
      <c r="A2" s="30" t="s">
        <v>36</v>
      </c>
      <c r="B2" s="12">
        <v>980</v>
      </c>
      <c r="C2" s="12">
        <v>918</v>
      </c>
      <c r="D2" s="12">
        <v>1122.7641799999999</v>
      </c>
      <c r="E2" s="14">
        <v>843.78599999999994</v>
      </c>
      <c r="F2" s="14">
        <v>1070.1279999999999</v>
      </c>
      <c r="G2" s="14">
        <v>1078.0150000000001</v>
      </c>
      <c r="H2" s="14">
        <v>1214.125</v>
      </c>
      <c r="I2" s="14">
        <v>1186.154</v>
      </c>
      <c r="J2" s="14">
        <v>1313.2550000000001</v>
      </c>
      <c r="K2" s="14">
        <v>1290.056</v>
      </c>
      <c r="L2" s="14">
        <v>1275.0070000000001</v>
      </c>
      <c r="M2" s="14">
        <v>1317.626</v>
      </c>
      <c r="N2" s="14">
        <v>893.66200000000003</v>
      </c>
      <c r="O2" s="78"/>
      <c r="P2" s="78"/>
    </row>
    <row r="3" spans="1:21" s="67" customFormat="1" ht="13.5" customHeight="1">
      <c r="A3" s="65" t="s">
        <v>93</v>
      </c>
      <c r="B3" s="150">
        <v>54096</v>
      </c>
      <c r="C3" s="150">
        <v>61634.520000000004</v>
      </c>
      <c r="D3" s="150">
        <v>51388.916518599995</v>
      </c>
      <c r="E3" s="87">
        <v>60896.035619999995</v>
      </c>
      <c r="F3" s="87">
        <v>77188.332639999993</v>
      </c>
      <c r="G3" s="87">
        <v>79988.713000000003</v>
      </c>
      <c r="H3" s="87">
        <v>81977.72</v>
      </c>
      <c r="I3" s="87">
        <v>90017.227060000005</v>
      </c>
      <c r="J3" s="87">
        <f>J2*52.24</f>
        <v>68604.441200000001</v>
      </c>
      <c r="K3" s="87">
        <f>K2*60.55</f>
        <v>78112.890799999994</v>
      </c>
      <c r="L3" s="87">
        <f>L2*45.47</f>
        <v>57974.568290000003</v>
      </c>
      <c r="M3" s="87">
        <f>M2*42.45</f>
        <v>55933.223700000002</v>
      </c>
      <c r="N3" s="87">
        <f>N2*54.75</f>
        <v>48927.994500000001</v>
      </c>
      <c r="O3" s="116"/>
      <c r="P3" s="116"/>
    </row>
    <row r="4" spans="1:21" s="67" customFormat="1" ht="13.5" hidden="1" customHeight="1">
      <c r="A4" s="65" t="s">
        <v>89</v>
      </c>
      <c r="B4" s="66"/>
      <c r="C4" s="66"/>
      <c r="D4" s="66"/>
      <c r="E4" s="61">
        <v>55.2</v>
      </c>
      <c r="F4" s="61">
        <v>67.14</v>
      </c>
      <c r="G4" s="61">
        <v>45.77</v>
      </c>
      <c r="H4" s="61">
        <v>72.17</v>
      </c>
      <c r="I4" s="61">
        <v>72.13</v>
      </c>
      <c r="J4" s="61">
        <v>74.2</v>
      </c>
      <c r="K4" s="61">
        <v>67.52</v>
      </c>
      <c r="L4" s="61">
        <v>75.89</v>
      </c>
      <c r="M4" s="61"/>
      <c r="N4" s="61">
        <v>75.89</v>
      </c>
      <c r="O4" s="61">
        <v>75.89</v>
      </c>
      <c r="P4" s="61">
        <v>75.89</v>
      </c>
    </row>
    <row r="5" spans="1:21" s="67" customFormat="1" ht="12.75">
      <c r="A5" s="67" t="s">
        <v>90</v>
      </c>
      <c r="B5" s="61">
        <v>66.28</v>
      </c>
      <c r="C5" s="61">
        <v>77.48</v>
      </c>
      <c r="D5" s="61">
        <v>72.36</v>
      </c>
      <c r="E5" s="61">
        <v>81.75</v>
      </c>
      <c r="F5" s="61">
        <v>97.26</v>
      </c>
      <c r="G5" s="61">
        <v>105.21</v>
      </c>
      <c r="H5" s="61">
        <v>105.42</v>
      </c>
      <c r="I5" s="61">
        <v>125.37</v>
      </c>
      <c r="J5" s="113">
        <v>133.84700000000001</v>
      </c>
      <c r="K5" s="113">
        <v>144.08600000000001</v>
      </c>
      <c r="L5" s="67">
        <v>141.03399999999999</v>
      </c>
      <c r="M5" s="113">
        <v>154.172</v>
      </c>
      <c r="N5" s="67">
        <v>87.759</v>
      </c>
    </row>
    <row r="6" spans="1:21" ht="15.75" customHeight="1">
      <c r="A6" s="63" t="s">
        <v>91</v>
      </c>
      <c r="B6" s="151">
        <v>71.38</v>
      </c>
      <c r="C6" s="151">
        <v>89.06</v>
      </c>
      <c r="D6" s="151">
        <v>58.72</v>
      </c>
      <c r="E6" s="151">
        <v>82.74</v>
      </c>
      <c r="F6" s="151">
        <v>107.59</v>
      </c>
      <c r="G6" s="151">
        <v>107.36</v>
      </c>
      <c r="H6" s="151">
        <v>110.19</v>
      </c>
      <c r="I6" s="151">
        <v>134.46</v>
      </c>
      <c r="J6" s="152">
        <v>103.08</v>
      </c>
      <c r="K6" s="152">
        <v>148.04</v>
      </c>
      <c r="L6" s="152">
        <v>112.77</v>
      </c>
      <c r="M6" s="152">
        <v>136.36000000000001</v>
      </c>
      <c r="N6" s="152">
        <v>111.46</v>
      </c>
    </row>
    <row r="7" spans="1:21" s="49" customFormat="1"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21" s="49" customFormat="1" ht="12.75">
      <c r="A8" s="64"/>
      <c r="B8" s="48"/>
      <c r="C8" s="48"/>
      <c r="D8" s="48"/>
      <c r="E8" s="48"/>
      <c r="F8" s="48"/>
      <c r="G8" s="48"/>
      <c r="H8" s="48"/>
      <c r="I8" s="48"/>
      <c r="J8" s="113"/>
      <c r="K8" s="113"/>
      <c r="L8" s="113"/>
      <c r="M8" s="113"/>
    </row>
    <row r="10" spans="1:21" s="62" customFormat="1" ht="17.25" customHeight="1">
      <c r="B10" s="130">
        <v>2016</v>
      </c>
      <c r="C10" s="130">
        <v>2017</v>
      </c>
      <c r="D10" s="130">
        <v>2018</v>
      </c>
      <c r="E10" s="130">
        <v>2019</v>
      </c>
      <c r="F10" s="130">
        <v>2020</v>
      </c>
      <c r="H10"/>
      <c r="I10" s="54" t="s">
        <v>28</v>
      </c>
      <c r="J10" s="54" t="s">
        <v>29</v>
      </c>
      <c r="K10" s="54" t="s">
        <v>30</v>
      </c>
      <c r="L10" s="54" t="s">
        <v>31</v>
      </c>
      <c r="M10" s="54" t="s">
        <v>32</v>
      </c>
      <c r="N10" s="54" t="s">
        <v>57</v>
      </c>
      <c r="O10" s="54" t="s">
        <v>58</v>
      </c>
      <c r="P10" s="54" t="s">
        <v>59</v>
      </c>
      <c r="Q10" s="54" t="s">
        <v>105</v>
      </c>
      <c r="R10" s="54" t="s">
        <v>106</v>
      </c>
      <c r="S10" s="54" t="s">
        <v>109</v>
      </c>
      <c r="T10" s="149">
        <v>2019</v>
      </c>
      <c r="U10" s="149">
        <v>2020</v>
      </c>
    </row>
    <row r="11" spans="1:21" s="49" customFormat="1" ht="12.75">
      <c r="A11" s="64" t="s">
        <v>95</v>
      </c>
      <c r="B11" s="114">
        <v>165146</v>
      </c>
      <c r="C11" s="115">
        <v>380376</v>
      </c>
      <c r="D11" s="115">
        <v>432530</v>
      </c>
      <c r="E11" s="115">
        <v>476403</v>
      </c>
      <c r="F11" s="115">
        <v>643202</v>
      </c>
      <c r="H11" s="30" t="s">
        <v>36</v>
      </c>
      <c r="I11" s="12">
        <v>980</v>
      </c>
      <c r="J11" s="12">
        <v>918</v>
      </c>
      <c r="K11" s="12">
        <v>1122.7641799999999</v>
      </c>
      <c r="L11" s="14">
        <v>843.78599999999994</v>
      </c>
      <c r="M11" s="14">
        <v>1070.1279999999999</v>
      </c>
      <c r="N11" s="14">
        <v>1078.0150000000001</v>
      </c>
      <c r="O11" s="14">
        <v>1214.125</v>
      </c>
      <c r="P11" s="14">
        <v>1186.154</v>
      </c>
      <c r="Q11" s="14">
        <v>1478</v>
      </c>
      <c r="R11" s="14">
        <v>1670</v>
      </c>
      <c r="S11" s="115">
        <v>1707.537</v>
      </c>
      <c r="T11" s="14">
        <v>1794.029</v>
      </c>
      <c r="U11" s="115">
        <v>1707.537</v>
      </c>
    </row>
    <row r="12" spans="1:21" s="49" customFormat="1" hidden="1">
      <c r="A12" s="64"/>
      <c r="B12" s="114"/>
      <c r="C12" s="115"/>
      <c r="D12" s="115"/>
      <c r="E12" s="115"/>
      <c r="F12" s="115"/>
    </row>
    <row r="13" spans="1:21" s="49" customFormat="1" ht="12.75">
      <c r="A13" s="64" t="s">
        <v>94</v>
      </c>
      <c r="B13" s="114">
        <v>12399</v>
      </c>
      <c r="C13" s="115">
        <v>33608</v>
      </c>
      <c r="D13" s="115">
        <v>37171</v>
      </c>
      <c r="E13" s="115">
        <v>43971</v>
      </c>
      <c r="F13" s="115">
        <v>56261</v>
      </c>
      <c r="H13" s="67" t="s">
        <v>90</v>
      </c>
      <c r="I13" s="61">
        <v>66.28</v>
      </c>
      <c r="J13" s="61">
        <v>77.48</v>
      </c>
      <c r="K13" s="61">
        <v>72.36</v>
      </c>
      <c r="L13" s="61">
        <v>81.75</v>
      </c>
      <c r="M13" s="61">
        <v>97.26</v>
      </c>
      <c r="N13" s="61">
        <v>105.21</v>
      </c>
      <c r="O13" s="61">
        <v>105.42</v>
      </c>
      <c r="P13" s="61">
        <v>125.37</v>
      </c>
      <c r="Q13" s="131">
        <v>146</v>
      </c>
      <c r="R13" s="131">
        <v>177.6</v>
      </c>
      <c r="S13" s="48">
        <v>178.20500000000001</v>
      </c>
      <c r="T13" s="131">
        <v>198.143</v>
      </c>
      <c r="U13" s="48">
        <v>178.20500000000001</v>
      </c>
    </row>
    <row r="14" spans="1:21" s="49" customFormat="1" hidden="1">
      <c r="A14" s="64"/>
      <c r="B14" s="114"/>
      <c r="C14" s="115"/>
      <c r="D14" s="115"/>
      <c r="E14" s="115"/>
      <c r="F14" s="115"/>
      <c r="P14" s="48"/>
      <c r="Q14" s="48"/>
      <c r="R14" s="48"/>
      <c r="S14" s="48"/>
      <c r="T14" s="48"/>
      <c r="U14" s="48"/>
    </row>
    <row r="15" spans="1:21" s="49" customFormat="1" ht="12.75">
      <c r="A15" s="64" t="s">
        <v>107</v>
      </c>
      <c r="B15" s="114">
        <v>6311</v>
      </c>
      <c r="C15" s="115">
        <v>16809</v>
      </c>
      <c r="D15" s="115">
        <v>16892</v>
      </c>
      <c r="E15" s="115">
        <v>19003</v>
      </c>
      <c r="F15" s="115">
        <v>26427</v>
      </c>
      <c r="H15" s="49" t="s">
        <v>92</v>
      </c>
      <c r="I15" s="48">
        <v>3</v>
      </c>
      <c r="J15" s="48">
        <v>4</v>
      </c>
      <c r="K15" s="48">
        <v>8.11</v>
      </c>
      <c r="L15" s="48">
        <v>4.33</v>
      </c>
      <c r="M15" s="48">
        <v>4.34</v>
      </c>
      <c r="N15" s="48">
        <v>9.76</v>
      </c>
      <c r="O15" s="48">
        <v>7.53</v>
      </c>
      <c r="P15" s="48">
        <v>7.11</v>
      </c>
      <c r="Q15" s="131">
        <v>8.3000000000000007</v>
      </c>
      <c r="R15" s="131">
        <v>12.48</v>
      </c>
      <c r="S15" s="48">
        <v>10.07</v>
      </c>
      <c r="T15" s="131">
        <v>13.15</v>
      </c>
      <c r="U15" s="48">
        <v>11.15</v>
      </c>
    </row>
    <row r="16" spans="1:21" s="62" customFormat="1" ht="12.75" thickBot="1"/>
    <row r="17" spans="1:5" s="62" customFormat="1" ht="13.5" thickBot="1">
      <c r="A17" s="64"/>
      <c r="B17" s="49"/>
      <c r="C17" s="68"/>
      <c r="E17" s="49"/>
    </row>
    <row r="18" spans="1:5" s="62" customFormat="1" ht="12.75">
      <c r="A18" s="64"/>
      <c r="B18" s="49"/>
      <c r="C18" s="68"/>
      <c r="E18" s="49"/>
    </row>
    <row r="19" spans="1:5" s="62" customFormat="1"/>
    <row r="20" spans="1:5" s="62" customFormat="1"/>
    <row r="21" spans="1:5" s="62" customFormat="1"/>
    <row r="22" spans="1:5" s="62" customFormat="1"/>
    <row r="23" spans="1:5" s="62" customFormat="1"/>
    <row r="24" spans="1:5" s="62" customFormat="1"/>
    <row r="25" spans="1:5" s="62" customFormat="1"/>
    <row r="26" spans="1:5" s="62" customFormat="1"/>
    <row r="27" spans="1:5" s="62" customFormat="1"/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G34" sqref="G34"/>
    </sheetView>
  </sheetViews>
  <sheetFormatPr defaultRowHeight="12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M31" sqref="M31"/>
    </sheetView>
  </sheetViews>
  <sheetFormatPr defaultRowHeight="12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I1" workbookViewId="0">
      <selection activeCell="T39" sqref="T39"/>
    </sheetView>
  </sheetViews>
  <sheetFormatPr defaultRowHeight="12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J1"/>
  <sheetViews>
    <sheetView topLeftCell="C1" workbookViewId="0">
      <selection activeCell="K37" sqref="K37"/>
    </sheetView>
  </sheetViews>
  <sheetFormatPr defaultRowHeight="12"/>
  <cols>
    <col min="4" max="4" width="14.125" customWidth="1"/>
    <col min="5" max="5" width="13" customWidth="1"/>
    <col min="6" max="6" width="11.125" customWidth="1"/>
    <col min="7" max="7" width="9.875" bestFit="1" customWidth="1"/>
    <col min="8" max="8" width="17.125" bestFit="1" customWidth="1"/>
    <col min="10" max="10" width="9" style="62"/>
    <col min="11" max="11" width="24.875" customWidth="1"/>
    <col min="12" max="12" width="11.875" bestFit="1" customWidth="1"/>
    <col min="13" max="13" width="14" bestFit="1" customWidth="1"/>
    <col min="15" max="15" width="17.125" bestFit="1" customWidth="1"/>
  </cols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D2:S11"/>
  <sheetViews>
    <sheetView workbookViewId="0">
      <selection activeCell="O6" sqref="O6"/>
    </sheetView>
  </sheetViews>
  <sheetFormatPr defaultRowHeight="12"/>
  <cols>
    <col min="4" max="4" width="18.625" customWidth="1"/>
    <col min="9" max="9" width="26.375" bestFit="1" customWidth="1"/>
    <col min="10" max="10" width="10.875" bestFit="1" customWidth="1"/>
    <col min="11" max="12" width="11.875" bestFit="1" customWidth="1"/>
    <col min="13" max="13" width="11.875" customWidth="1"/>
    <col min="14" max="14" width="13.375" customWidth="1"/>
    <col min="15" max="15" width="13.5" customWidth="1"/>
  </cols>
  <sheetData>
    <row r="2" spans="4:19"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4:19">
      <c r="D3" s="62" t="s">
        <v>121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4:19">
      <c r="D4" s="62"/>
      <c r="E4" s="62">
        <v>2015</v>
      </c>
      <c r="F4" s="62">
        <v>2016</v>
      </c>
      <c r="G4" s="62">
        <v>2017</v>
      </c>
      <c r="H4" s="62">
        <v>2018</v>
      </c>
      <c r="I4" s="62"/>
      <c r="J4" s="62">
        <v>2015</v>
      </c>
      <c r="K4" s="62">
        <v>2016</v>
      </c>
      <c r="L4" s="62">
        <v>2017</v>
      </c>
      <c r="M4" s="62">
        <v>2018</v>
      </c>
      <c r="N4" s="62">
        <v>2019</v>
      </c>
      <c r="O4" s="62">
        <v>2020</v>
      </c>
      <c r="P4" s="62"/>
      <c r="Q4" s="62"/>
      <c r="R4" s="62"/>
      <c r="S4" s="62"/>
    </row>
    <row r="5" spans="4:19">
      <c r="D5" s="62" t="s">
        <v>100</v>
      </c>
      <c r="E5" s="62">
        <v>8845</v>
      </c>
      <c r="F5" s="62">
        <v>12204</v>
      </c>
      <c r="G5" s="62">
        <v>16750</v>
      </c>
      <c r="H5" s="62">
        <v>19594</v>
      </c>
      <c r="I5" s="62" t="s">
        <v>101</v>
      </c>
      <c r="J5" s="115">
        <v>8845</v>
      </c>
      <c r="K5" s="115">
        <v>12204</v>
      </c>
      <c r="L5" s="115">
        <v>16750</v>
      </c>
      <c r="M5" s="115">
        <v>19594</v>
      </c>
      <c r="N5" s="115">
        <v>30701</v>
      </c>
      <c r="O5" s="115">
        <v>22713</v>
      </c>
      <c r="P5" s="62"/>
      <c r="Q5" s="62"/>
      <c r="R5" s="62"/>
      <c r="S5" s="62"/>
    </row>
    <row r="6" spans="4:19">
      <c r="D6" s="62" t="s">
        <v>102</v>
      </c>
      <c r="E6" s="62">
        <f>1025*E5</f>
        <v>9066125</v>
      </c>
      <c r="F6" s="62">
        <f>1025*F5</f>
        <v>12509100</v>
      </c>
      <c r="G6" s="62">
        <f>1025*G5</f>
        <v>17168750</v>
      </c>
      <c r="H6" s="62">
        <f>1025*H5</f>
        <v>20083850</v>
      </c>
      <c r="I6" s="62" t="s">
        <v>102</v>
      </c>
      <c r="J6" s="115">
        <v>9066</v>
      </c>
      <c r="K6" s="115">
        <v>12509.1</v>
      </c>
      <c r="L6" s="115">
        <v>17168.75</v>
      </c>
      <c r="M6" s="115">
        <v>20084</v>
      </c>
      <c r="N6" s="115">
        <v>31468.525000000001</v>
      </c>
      <c r="O6" s="115">
        <v>23280.825000000001</v>
      </c>
      <c r="P6" s="62"/>
      <c r="Q6" s="62"/>
      <c r="R6" s="62"/>
      <c r="S6" s="62"/>
    </row>
    <row r="7" spans="4:19"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4:19">
      <c r="D8" s="62"/>
      <c r="E8" s="62"/>
      <c r="F8" s="62"/>
      <c r="G8" s="62"/>
      <c r="H8" s="62"/>
      <c r="I8" s="62"/>
      <c r="J8" s="62"/>
      <c r="K8" s="62"/>
      <c r="L8" s="62"/>
      <c r="M8" s="62"/>
      <c r="N8" s="153"/>
      <c r="O8" s="153"/>
      <c r="P8" s="62"/>
      <c r="Q8" s="62"/>
      <c r="R8" s="62"/>
      <c r="S8" s="62"/>
    </row>
    <row r="9" spans="4:19">
      <c r="D9" s="62"/>
      <c r="E9" s="62"/>
      <c r="F9" s="62" t="s">
        <v>103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4:19">
      <c r="D10" s="62"/>
      <c r="E10" s="62"/>
      <c r="F10" s="62" t="s">
        <v>104</v>
      </c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</row>
    <row r="11" spans="4:19"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D17"/>
  <sheetViews>
    <sheetView workbookViewId="0">
      <selection activeCell="H35" sqref="H35"/>
    </sheetView>
  </sheetViews>
  <sheetFormatPr defaultRowHeight="12"/>
  <sheetData>
    <row r="17" spans="4:4">
      <c r="D17" s="32" t="s">
        <v>80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I41" sqref="I41"/>
    </sheetView>
  </sheetViews>
  <sheetFormatPr defaultRowHeight="12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>
      <selection activeCell="J30" sqref="J30"/>
    </sheetView>
  </sheetViews>
  <sheetFormatPr defaultRowHeight="1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M65"/>
  <sheetViews>
    <sheetView showGridLines="0" workbookViewId="0">
      <pane xSplit="2" ySplit="4" topLeftCell="C5" activePane="bottomRight" state="frozen"/>
      <selection pane="topRight" activeCell="C1" sqref="C1"/>
      <selection pane="bottomLeft" activeCell="A8" sqref="A8"/>
      <selection pane="bottomRight" activeCell="E1" sqref="E1"/>
    </sheetView>
  </sheetViews>
  <sheetFormatPr defaultColWidth="9.625" defaultRowHeight="12"/>
  <cols>
    <col min="1" max="1" width="22.75" customWidth="1"/>
    <col min="2" max="2" width="7.125" customWidth="1"/>
    <col min="3" max="13" width="7.625" customWidth="1"/>
  </cols>
  <sheetData>
    <row r="1" spans="1:13" ht="18" customHeight="1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4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4.25" customHeight="1">
      <c r="A3" s="1"/>
      <c r="B3" s="1"/>
    </row>
    <row r="4" spans="1:13" ht="18" customHeight="1">
      <c r="A4" s="3"/>
      <c r="B4" s="4"/>
      <c r="C4" s="26" t="s">
        <v>17</v>
      </c>
      <c r="D4" s="26" t="s">
        <v>18</v>
      </c>
      <c r="E4" s="26" t="s">
        <v>19</v>
      </c>
      <c r="F4" s="26" t="s">
        <v>20</v>
      </c>
      <c r="G4" s="26" t="s">
        <v>21</v>
      </c>
      <c r="H4" s="26" t="s">
        <v>22</v>
      </c>
      <c r="I4" s="26" t="s">
        <v>23</v>
      </c>
      <c r="J4" s="26" t="s">
        <v>24</v>
      </c>
      <c r="K4" s="26" t="s">
        <v>25</v>
      </c>
      <c r="L4" s="26" t="s">
        <v>26</v>
      </c>
      <c r="M4" s="26" t="s">
        <v>27</v>
      </c>
    </row>
    <row r="5" spans="1:13" ht="18" customHeight="1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3.5" customHeight="1">
      <c r="A6" s="30" t="s">
        <v>36</v>
      </c>
      <c r="B6" s="12"/>
      <c r="C6" s="12">
        <v>1114</v>
      </c>
      <c r="D6" s="12">
        <v>1104</v>
      </c>
      <c r="E6" s="12">
        <v>1141</v>
      </c>
      <c r="F6" s="12">
        <v>1199</v>
      </c>
      <c r="G6" s="12">
        <v>1025</v>
      </c>
      <c r="H6" s="12">
        <v>1232</v>
      </c>
      <c r="I6" s="12">
        <v>1180</v>
      </c>
      <c r="J6" s="12">
        <v>1156</v>
      </c>
      <c r="K6" s="12">
        <v>1153</v>
      </c>
      <c r="L6" s="12">
        <v>1103</v>
      </c>
      <c r="M6" s="12">
        <v>1063</v>
      </c>
    </row>
    <row r="7" spans="1:13" ht="13.5" customHeight="1">
      <c r="A7" s="30" t="s">
        <v>37</v>
      </c>
      <c r="B7" s="12"/>
      <c r="C7" s="12">
        <v>1203</v>
      </c>
      <c r="D7" s="12">
        <v>2407</v>
      </c>
      <c r="E7" s="12">
        <v>1793</v>
      </c>
      <c r="F7" s="12">
        <v>2020</v>
      </c>
      <c r="G7" s="12">
        <v>3133</v>
      </c>
      <c r="H7" s="12">
        <v>3166</v>
      </c>
      <c r="I7" s="12">
        <v>4550</v>
      </c>
      <c r="J7" s="12">
        <v>3880</v>
      </c>
      <c r="K7" s="12">
        <v>4455</v>
      </c>
      <c r="L7" s="12">
        <v>5630</v>
      </c>
      <c r="M7" s="12">
        <v>5589</v>
      </c>
    </row>
    <row r="8" spans="1:13" ht="13.5" customHeight="1">
      <c r="A8" s="30" t="s">
        <v>38</v>
      </c>
      <c r="B8" s="12"/>
      <c r="C8" s="12">
        <v>792</v>
      </c>
      <c r="D8" s="12">
        <v>1192</v>
      </c>
      <c r="E8" s="12">
        <v>1015</v>
      </c>
      <c r="F8" s="12">
        <v>833</v>
      </c>
      <c r="G8" s="12">
        <v>1214</v>
      </c>
      <c r="H8" s="12">
        <v>1159</v>
      </c>
      <c r="I8" s="12">
        <v>1418</v>
      </c>
      <c r="J8" s="12">
        <v>1236</v>
      </c>
      <c r="K8" s="12">
        <v>1328</v>
      </c>
      <c r="L8" s="12">
        <v>1458</v>
      </c>
      <c r="M8" s="12">
        <v>1407</v>
      </c>
    </row>
    <row r="9" spans="1:13" ht="13.5" customHeight="1">
      <c r="A9" s="30" t="s">
        <v>39</v>
      </c>
      <c r="B9" s="12"/>
      <c r="C9" s="12">
        <v>70177</v>
      </c>
      <c r="D9" s="12">
        <v>56239</v>
      </c>
      <c r="E9" s="12">
        <v>59939</v>
      </c>
      <c r="F9" s="12">
        <v>51286</v>
      </c>
      <c r="G9" s="12">
        <v>62180</v>
      </c>
      <c r="H9" s="12">
        <v>82392</v>
      </c>
      <c r="I9" s="12">
        <v>82363</v>
      </c>
      <c r="J9" s="12">
        <v>82908</v>
      </c>
      <c r="K9" s="12">
        <v>89593</v>
      </c>
      <c r="L9" s="12">
        <v>80423</v>
      </c>
      <c r="M9" s="12">
        <v>93278</v>
      </c>
    </row>
    <row r="10" spans="1:13" ht="13.5" customHeight="1">
      <c r="A10" s="30" t="s">
        <v>56</v>
      </c>
      <c r="B10" s="12"/>
      <c r="C10" s="12">
        <v>10564</v>
      </c>
      <c r="D10" s="12">
        <v>14649</v>
      </c>
      <c r="E10" s="12">
        <v>21484</v>
      </c>
      <c r="F10" s="12">
        <v>14309</v>
      </c>
      <c r="G10" s="12">
        <v>21227</v>
      </c>
      <c r="H10" s="12">
        <v>28124</v>
      </c>
      <c r="I10" s="12">
        <v>36877</v>
      </c>
      <c r="J10" s="12">
        <v>20838</v>
      </c>
      <c r="K10" s="12">
        <v>27819</v>
      </c>
      <c r="L10" s="12">
        <v>21710</v>
      </c>
      <c r="M10" s="12">
        <v>26722</v>
      </c>
    </row>
    <row r="11" spans="1:13" ht="13.5" customHeight="1">
      <c r="A11" s="30" t="s">
        <v>52</v>
      </c>
      <c r="B11" s="12"/>
      <c r="C11" s="12">
        <v>7833</v>
      </c>
      <c r="D11" s="12">
        <v>5518</v>
      </c>
      <c r="E11" s="12">
        <v>7988</v>
      </c>
      <c r="F11" s="12">
        <v>7071</v>
      </c>
      <c r="G11" s="12">
        <v>6925</v>
      </c>
      <c r="H11" s="12">
        <v>7542</v>
      </c>
      <c r="I11" s="12">
        <v>9357</v>
      </c>
      <c r="J11" s="12">
        <v>6905</v>
      </c>
      <c r="K11" s="12">
        <v>8044</v>
      </c>
      <c r="L11" s="12">
        <v>11021</v>
      </c>
      <c r="M11" s="12">
        <v>14665</v>
      </c>
    </row>
    <row r="12" spans="1:13" ht="13.5" customHeight="1">
      <c r="A12" s="30" t="s">
        <v>41</v>
      </c>
      <c r="B12" s="12"/>
      <c r="C12" s="12">
        <v>1015</v>
      </c>
      <c r="D12" s="12">
        <v>1380</v>
      </c>
      <c r="E12" s="12">
        <v>2045</v>
      </c>
      <c r="F12" s="12">
        <v>2642</v>
      </c>
      <c r="G12" s="12">
        <v>2453</v>
      </c>
      <c r="H12" s="12">
        <v>3137</v>
      </c>
      <c r="I12" s="12">
        <f>52708*2204.507/1000/40</f>
        <v>2904.8788739000001</v>
      </c>
      <c r="J12" s="12">
        <v>2856</v>
      </c>
      <c r="K12" s="12">
        <v>3097</v>
      </c>
      <c r="L12" s="12">
        <v>4127</v>
      </c>
      <c r="M12" s="12">
        <v>3073</v>
      </c>
    </row>
    <row r="13" spans="1:13" ht="13.5" customHeight="1">
      <c r="A13" s="30" t="s">
        <v>42</v>
      </c>
      <c r="B13" s="12"/>
      <c r="C13" s="12">
        <v>201224</v>
      </c>
      <c r="D13" s="12">
        <v>315491</v>
      </c>
      <c r="E13" s="12">
        <v>158609</v>
      </c>
      <c r="F13" s="12">
        <v>53000</v>
      </c>
      <c r="G13" s="12">
        <v>75000</v>
      </c>
      <c r="H13" s="12">
        <v>39924</v>
      </c>
      <c r="I13" s="12">
        <v>184556</v>
      </c>
      <c r="J13" s="12">
        <v>197993</v>
      </c>
      <c r="K13" s="12">
        <v>49640</v>
      </c>
      <c r="L13" s="12">
        <v>81710</v>
      </c>
      <c r="M13" s="12">
        <v>72090</v>
      </c>
    </row>
    <row r="14" spans="1:13" ht="13.5" customHeight="1">
      <c r="A14" s="13" t="s">
        <v>1</v>
      </c>
      <c r="B14" s="12"/>
      <c r="C14" s="12"/>
      <c r="D14" s="12"/>
      <c r="E14" s="12"/>
      <c r="F14" s="12"/>
      <c r="G14" s="12"/>
      <c r="H14" s="12"/>
      <c r="I14" s="12"/>
      <c r="J14" s="12">
        <v>8150</v>
      </c>
      <c r="K14" s="12">
        <v>8287</v>
      </c>
      <c r="L14" s="12">
        <v>7602</v>
      </c>
      <c r="M14" s="12">
        <v>9305</v>
      </c>
    </row>
    <row r="15" spans="1:13" ht="13.5" customHeight="1">
      <c r="A15" s="12" t="s">
        <v>33</v>
      </c>
      <c r="B15" s="12"/>
      <c r="C15" s="12">
        <v>7157</v>
      </c>
      <c r="D15" s="12">
        <v>8708</v>
      </c>
      <c r="E15" s="12">
        <v>8296</v>
      </c>
      <c r="F15" s="12">
        <v>8784</v>
      </c>
      <c r="G15" s="12">
        <v>8246</v>
      </c>
      <c r="H15" s="12">
        <v>7453</v>
      </c>
      <c r="I15" s="12">
        <v>8316</v>
      </c>
      <c r="J15" s="12">
        <v>3260</v>
      </c>
      <c r="K15" s="12">
        <v>3315</v>
      </c>
      <c r="L15" s="12">
        <v>3041</v>
      </c>
      <c r="M15" s="12">
        <v>3233</v>
      </c>
    </row>
    <row r="16" spans="1:13" ht="13.5" customHeight="1">
      <c r="A16" s="12" t="s">
        <v>50</v>
      </c>
      <c r="B16" s="12"/>
      <c r="C16" s="12">
        <v>3119</v>
      </c>
      <c r="D16" s="12">
        <v>3341</v>
      </c>
      <c r="E16" s="12">
        <v>3007</v>
      </c>
      <c r="F16" s="12">
        <v>3184</v>
      </c>
      <c r="G16" s="12">
        <v>3022</v>
      </c>
      <c r="H16" s="12">
        <v>2934</v>
      </c>
      <c r="I16" s="12">
        <v>3326</v>
      </c>
      <c r="J16" s="12">
        <v>13807</v>
      </c>
      <c r="K16" s="12">
        <v>14862</v>
      </c>
      <c r="L16" s="12">
        <v>13978</v>
      </c>
      <c r="M16" s="12">
        <v>16433</v>
      </c>
    </row>
    <row r="17" spans="1:13" ht="13.5" customHeight="1">
      <c r="A17" s="12" t="s">
        <v>34</v>
      </c>
      <c r="B17" s="12"/>
      <c r="C17" s="12">
        <v>8627</v>
      </c>
      <c r="D17" s="12">
        <v>10955</v>
      </c>
      <c r="E17" s="12">
        <v>11226</v>
      </c>
      <c r="F17" s="12">
        <v>13506</v>
      </c>
      <c r="G17" s="12">
        <v>12108</v>
      </c>
      <c r="H17" s="12">
        <v>11772</v>
      </c>
      <c r="I17" s="12">
        <v>13378</v>
      </c>
      <c r="J17" s="12">
        <v>1740</v>
      </c>
      <c r="K17" s="12">
        <v>1873</v>
      </c>
      <c r="L17" s="12">
        <v>1532</v>
      </c>
      <c r="M17" s="12">
        <v>2403</v>
      </c>
    </row>
    <row r="18" spans="1:13" ht="13.5" customHeight="1">
      <c r="A18" s="12" t="s">
        <v>50</v>
      </c>
      <c r="B18" s="12"/>
      <c r="C18" s="12">
        <v>1012</v>
      </c>
      <c r="D18" s="12">
        <v>1256</v>
      </c>
      <c r="E18" s="12">
        <v>1273</v>
      </c>
      <c r="F18" s="12">
        <v>1702</v>
      </c>
      <c r="G18" s="12">
        <v>1526</v>
      </c>
      <c r="H18" s="12">
        <v>1445</v>
      </c>
      <c r="I18" s="12">
        <v>1686</v>
      </c>
      <c r="J18" s="12">
        <v>4504</v>
      </c>
      <c r="K18" s="17" t="s">
        <v>35</v>
      </c>
      <c r="L18" s="17" t="s">
        <v>35</v>
      </c>
      <c r="M18" s="14">
        <v>7850</v>
      </c>
    </row>
    <row r="19" spans="1:13" ht="13.5" customHeight="1">
      <c r="A19" s="12" t="s">
        <v>51</v>
      </c>
      <c r="B19" s="12"/>
      <c r="C19" s="12">
        <v>4160</v>
      </c>
      <c r="D19" s="12">
        <v>5051</v>
      </c>
      <c r="E19" s="12">
        <v>5315</v>
      </c>
      <c r="F19" s="12">
        <v>5401</v>
      </c>
      <c r="G19" s="12">
        <v>4419</v>
      </c>
      <c r="H19" s="12">
        <v>4715</v>
      </c>
      <c r="I19" s="12">
        <v>3918</v>
      </c>
      <c r="J19" s="12">
        <v>15856</v>
      </c>
      <c r="K19" s="12">
        <v>18399</v>
      </c>
      <c r="L19" s="12">
        <v>19157</v>
      </c>
      <c r="M19" s="12">
        <v>27499</v>
      </c>
    </row>
    <row r="20" spans="1:13" ht="13.5" customHeight="1">
      <c r="A20" s="12" t="s">
        <v>50</v>
      </c>
      <c r="B20" s="12"/>
      <c r="C20" s="12">
        <v>14384</v>
      </c>
      <c r="D20" s="12">
        <v>17227</v>
      </c>
      <c r="E20" s="12">
        <v>16743</v>
      </c>
      <c r="F20" s="12">
        <v>14970</v>
      </c>
      <c r="G20" s="12">
        <v>15548</v>
      </c>
      <c r="H20" s="12">
        <v>16713</v>
      </c>
      <c r="I20" s="12">
        <v>16521</v>
      </c>
      <c r="J20" s="12">
        <v>2492</v>
      </c>
      <c r="K20" s="12">
        <v>2606</v>
      </c>
      <c r="L20" s="12">
        <v>2697</v>
      </c>
      <c r="M20" s="12">
        <v>5230</v>
      </c>
    </row>
    <row r="21" spans="1:13" ht="13.5" customHeight="1">
      <c r="A21" s="12" t="s">
        <v>43</v>
      </c>
      <c r="B21" s="12"/>
      <c r="C21" s="12">
        <v>2851</v>
      </c>
      <c r="D21" s="12">
        <v>2504</v>
      </c>
      <c r="E21" s="12">
        <v>2868</v>
      </c>
      <c r="F21" s="12">
        <v>3019</v>
      </c>
      <c r="G21" s="12">
        <v>3075</v>
      </c>
      <c r="H21" s="12">
        <v>2504</v>
      </c>
      <c r="I21" s="12">
        <v>2511</v>
      </c>
      <c r="J21" s="12">
        <v>98</v>
      </c>
      <c r="K21" s="12">
        <v>193</v>
      </c>
      <c r="L21" s="12">
        <v>143</v>
      </c>
      <c r="M21" s="12">
        <v>93</v>
      </c>
    </row>
    <row r="22" spans="1:13" ht="13.5" customHeight="1">
      <c r="A22" s="12" t="s">
        <v>44</v>
      </c>
      <c r="B22" s="12"/>
      <c r="C22" s="12">
        <v>136.5</v>
      </c>
      <c r="D22" s="12">
        <v>136</v>
      </c>
      <c r="E22" s="12">
        <v>122</v>
      </c>
      <c r="F22" s="12">
        <v>158</v>
      </c>
      <c r="G22" s="12">
        <v>213</v>
      </c>
      <c r="H22" s="12">
        <v>197</v>
      </c>
      <c r="I22" s="12">
        <v>133</v>
      </c>
      <c r="J22" s="12">
        <v>2523</v>
      </c>
      <c r="K22" s="12">
        <v>2633</v>
      </c>
      <c r="L22" s="12">
        <v>2774</v>
      </c>
      <c r="M22" s="12">
        <v>2881</v>
      </c>
    </row>
    <row r="23" spans="1:13" ht="12.75">
      <c r="A23" s="12" t="s">
        <v>45</v>
      </c>
      <c r="B23" s="12"/>
      <c r="C23" s="12">
        <v>2144</v>
      </c>
      <c r="D23" s="12">
        <v>2235</v>
      </c>
      <c r="E23" s="12">
        <v>2302</v>
      </c>
      <c r="F23" s="12">
        <v>2370</v>
      </c>
      <c r="G23" s="12">
        <v>2431</v>
      </c>
      <c r="H23" s="12">
        <v>2326</v>
      </c>
      <c r="I23" s="12">
        <v>2362</v>
      </c>
    </row>
    <row r="24" spans="1:13" ht="12.75">
      <c r="A24" s="1"/>
      <c r="B24" s="1"/>
    </row>
    <row r="25" spans="1:13" ht="12.75">
      <c r="A25" s="1"/>
      <c r="B25" s="1"/>
      <c r="J25" s="25"/>
      <c r="K25" s="25"/>
      <c r="L25" s="25"/>
      <c r="M25" s="25"/>
    </row>
    <row r="26" spans="1:13" ht="15.75">
      <c r="A26" s="24" t="s">
        <v>5</v>
      </c>
      <c r="B26" s="25"/>
      <c r="C26" s="29"/>
      <c r="D26" s="25"/>
      <c r="E26" s="25"/>
      <c r="F26" s="25"/>
      <c r="G26" s="25"/>
      <c r="H26" s="25"/>
      <c r="I26" s="25"/>
    </row>
    <row r="27" spans="1:13" ht="15" customHeight="1">
      <c r="A27" s="1"/>
      <c r="J27" s="28"/>
      <c r="K27" s="28"/>
      <c r="L27" s="28"/>
      <c r="M27" s="28"/>
    </row>
    <row r="28" spans="1:13" ht="18" customHeight="1">
      <c r="A28" s="6"/>
      <c r="B28" s="7" t="s">
        <v>2</v>
      </c>
      <c r="C28" s="28"/>
      <c r="D28" s="28"/>
      <c r="E28" s="28"/>
      <c r="F28" s="28"/>
      <c r="G28" s="28"/>
      <c r="H28" s="28"/>
      <c r="I28" s="28"/>
      <c r="J28" s="27" t="s">
        <v>24</v>
      </c>
      <c r="K28" s="27" t="s">
        <v>25</v>
      </c>
      <c r="L28" s="27" t="s">
        <v>26</v>
      </c>
      <c r="M28" s="27" t="s">
        <v>27</v>
      </c>
    </row>
    <row r="29" spans="1:13" ht="18" customHeight="1">
      <c r="A29" s="5"/>
      <c r="B29" s="8" t="s">
        <v>3</v>
      </c>
      <c r="C29" s="27" t="s">
        <v>17</v>
      </c>
      <c r="D29" s="27" t="s">
        <v>18</v>
      </c>
      <c r="E29" s="27" t="s">
        <v>19</v>
      </c>
      <c r="F29" s="27" t="s">
        <v>20</v>
      </c>
      <c r="G29" s="27" t="s">
        <v>21</v>
      </c>
      <c r="H29" s="27" t="s">
        <v>22</v>
      </c>
      <c r="I29" s="27" t="s">
        <v>23</v>
      </c>
      <c r="J29" s="15">
        <v>86.1</v>
      </c>
      <c r="K29" s="15">
        <v>93</v>
      </c>
      <c r="L29" s="15">
        <v>100</v>
      </c>
      <c r="M29" s="15">
        <v>94.443363218262292</v>
      </c>
    </row>
    <row r="30" spans="1:13" ht="13.5" customHeight="1">
      <c r="A30" s="11" t="s">
        <v>46</v>
      </c>
      <c r="B30" s="15">
        <v>81.900000000000006</v>
      </c>
      <c r="C30" s="15">
        <v>52.5</v>
      </c>
      <c r="D30" s="15">
        <v>59</v>
      </c>
      <c r="E30" s="15">
        <v>67.900000000000006</v>
      </c>
      <c r="F30" s="15">
        <v>74</v>
      </c>
      <c r="G30" s="15">
        <v>74.5</v>
      </c>
      <c r="H30" s="15">
        <v>89.8</v>
      </c>
      <c r="I30" s="15">
        <v>93.1</v>
      </c>
      <c r="J30" s="16">
        <v>107.9</v>
      </c>
      <c r="K30" s="16">
        <v>105.1</v>
      </c>
      <c r="L30" s="16">
        <v>100</v>
      </c>
      <c r="M30" s="16">
        <v>141.90610471803092</v>
      </c>
    </row>
    <row r="31" spans="1:13" s="2" customFormat="1" ht="13.5" customHeight="1">
      <c r="A31" s="12" t="s">
        <v>47</v>
      </c>
      <c r="B31" s="16">
        <v>18.100000000000001</v>
      </c>
      <c r="C31" s="16">
        <v>99</v>
      </c>
      <c r="D31" s="16">
        <v>110.8</v>
      </c>
      <c r="E31" s="16">
        <v>104.8</v>
      </c>
      <c r="F31" s="16">
        <v>104</v>
      </c>
      <c r="G31" s="16">
        <v>103.3</v>
      </c>
      <c r="H31" s="16">
        <v>104.7</v>
      </c>
      <c r="I31" s="16">
        <v>110.6</v>
      </c>
      <c r="J31" s="18">
        <v>90</v>
      </c>
      <c r="K31" s="18">
        <v>95.2</v>
      </c>
      <c r="L31" s="18">
        <v>100</v>
      </c>
      <c r="M31" s="18">
        <v>103.03108528186198</v>
      </c>
    </row>
    <row r="32" spans="1:13" ht="12.75">
      <c r="A32" s="13" t="s">
        <v>4</v>
      </c>
      <c r="B32" s="18">
        <v>100</v>
      </c>
      <c r="C32" s="18">
        <v>60.9</v>
      </c>
      <c r="D32" s="18">
        <v>68.3</v>
      </c>
      <c r="E32" s="18">
        <v>74.599999999999994</v>
      </c>
      <c r="F32" s="18">
        <v>79.400000000000006</v>
      </c>
      <c r="G32" s="18">
        <v>79.7</v>
      </c>
      <c r="H32" s="18">
        <v>92.5</v>
      </c>
      <c r="I32" s="18">
        <v>96.3</v>
      </c>
    </row>
    <row r="33" spans="1:2" ht="12.75">
      <c r="A33" s="1"/>
      <c r="B33" s="1"/>
    </row>
    <row r="34" spans="1:2" ht="12.75">
      <c r="A34" s="1"/>
      <c r="B34" s="1"/>
    </row>
    <row r="35" spans="1:2" ht="12.75">
      <c r="A35" s="1" t="s">
        <v>61</v>
      </c>
      <c r="B35" s="1"/>
    </row>
    <row r="36" spans="1:2" ht="12.75">
      <c r="A36" s="1" t="s">
        <v>62</v>
      </c>
      <c r="B36" s="1"/>
    </row>
    <row r="37" spans="1:2" ht="12.75">
      <c r="A37" s="1"/>
      <c r="B37" s="1"/>
    </row>
    <row r="38" spans="1:2" ht="12.75">
      <c r="A38" s="1"/>
      <c r="B38" s="1"/>
    </row>
    <row r="39" spans="1:2" ht="12.75">
      <c r="A39" s="1"/>
      <c r="B39" s="1"/>
    </row>
    <row r="40" spans="1:2" ht="12.75">
      <c r="A40" s="1"/>
      <c r="B40" s="1"/>
    </row>
    <row r="41" spans="1:2" ht="12.75">
      <c r="A41" s="1"/>
      <c r="B41" s="1"/>
    </row>
    <row r="42" spans="1:2" ht="12.75">
      <c r="A42" s="1"/>
      <c r="B42" s="1"/>
    </row>
    <row r="43" spans="1:2" ht="12.75">
      <c r="A43" s="1"/>
      <c r="B43" s="1"/>
    </row>
    <row r="44" spans="1:2" ht="12.75">
      <c r="A44" s="1"/>
      <c r="B44" s="1"/>
    </row>
    <row r="45" spans="1:2" ht="12.75">
      <c r="A45" s="1"/>
      <c r="B45" s="1"/>
    </row>
    <row r="46" spans="1:2" ht="12.75">
      <c r="A46" s="1"/>
      <c r="B46" s="1"/>
    </row>
    <row r="47" spans="1:2" ht="12.75">
      <c r="A47" s="1"/>
      <c r="B47" s="1"/>
    </row>
    <row r="48" spans="1:2" ht="12.75">
      <c r="A48" s="1"/>
      <c r="B48" s="1"/>
    </row>
    <row r="49" spans="1:2" ht="12.75">
      <c r="A49" s="1"/>
      <c r="B49" s="1"/>
    </row>
    <row r="50" spans="1:2" ht="12.75">
      <c r="A50" s="1"/>
      <c r="B50" s="1"/>
    </row>
    <row r="51" spans="1:2" ht="12.75">
      <c r="A51" s="1"/>
      <c r="B51" s="1"/>
    </row>
    <row r="52" spans="1:2" ht="12.75">
      <c r="A52" s="1"/>
      <c r="B52" s="1"/>
    </row>
    <row r="53" spans="1:2" ht="12.75">
      <c r="A53" s="1"/>
      <c r="B53" s="1"/>
    </row>
    <row r="54" spans="1:2" ht="12.75">
      <c r="A54" s="1"/>
      <c r="B54" s="1"/>
    </row>
    <row r="55" spans="1:2" ht="12.75">
      <c r="A55" s="1"/>
      <c r="B55" s="1"/>
    </row>
    <row r="56" spans="1:2" ht="12.75">
      <c r="A56" s="1"/>
      <c r="B56" s="1"/>
    </row>
    <row r="57" spans="1:2" ht="12.75">
      <c r="A57" s="1"/>
      <c r="B57" s="1"/>
    </row>
    <row r="58" spans="1:2" ht="12.75">
      <c r="A58" s="1"/>
      <c r="B58" s="1"/>
    </row>
    <row r="59" spans="1:2" ht="12.75">
      <c r="A59" s="1"/>
      <c r="B59" s="1"/>
    </row>
    <row r="60" spans="1:2" ht="12.75">
      <c r="A60" s="1"/>
      <c r="B60" s="1"/>
    </row>
    <row r="61" spans="1:2" ht="12.75">
      <c r="A61" s="1"/>
      <c r="B61" s="1"/>
    </row>
    <row r="62" spans="1:2" ht="12.75">
      <c r="A62" s="1"/>
      <c r="B62" s="1"/>
    </row>
    <row r="63" spans="1:2" ht="12.75">
      <c r="A63" s="1"/>
      <c r="B63" s="1"/>
    </row>
    <row r="64" spans="1:2" ht="12.75">
      <c r="A64" s="1"/>
      <c r="B64" s="1"/>
    </row>
    <row r="65" spans="1:2" ht="12.75">
      <c r="A65" s="1"/>
      <c r="B65" s="1"/>
    </row>
  </sheetData>
  <phoneticPr fontId="0" type="noConversion"/>
  <printOptions horizontalCentered="1"/>
  <pageMargins left="0" right="0" top="0.5" bottom="0.5" header="0.5" footer="0.25"/>
  <pageSetup scale="95" firstPageNumber="2" orientation="landscape" useFirstPageNumber="1" r:id="rId1"/>
  <headerFooter>
    <oddHeader>&amp;C&amp;"CG Times (PCL6),Bold"&amp;12</oddHeader>
    <oddFooter>&amp;C&amp;"Arial,Regular"&amp;P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T18"/>
  <sheetViews>
    <sheetView topLeftCell="D1" workbookViewId="0">
      <selection activeCell="M29" sqref="M29"/>
    </sheetView>
  </sheetViews>
  <sheetFormatPr defaultRowHeight="12"/>
  <cols>
    <col min="1" max="1" width="9" style="62"/>
    <col min="2" max="2" width="13.875" customWidth="1"/>
    <col min="4" max="4" width="19.375" customWidth="1"/>
  </cols>
  <sheetData>
    <row r="2" spans="1:20" ht="45">
      <c r="A2" s="74" t="s">
        <v>97</v>
      </c>
      <c r="B2" s="75" t="s">
        <v>98</v>
      </c>
      <c r="D2" s="71"/>
      <c r="E2" s="72">
        <v>2005</v>
      </c>
      <c r="F2" s="72">
        <v>2006</v>
      </c>
      <c r="G2" s="72">
        <v>2007</v>
      </c>
      <c r="H2" s="72">
        <v>2008</v>
      </c>
      <c r="I2" s="72">
        <v>2009</v>
      </c>
      <c r="J2" s="72">
        <v>2010</v>
      </c>
      <c r="K2" s="72">
        <v>2011</v>
      </c>
      <c r="L2" s="72">
        <v>2012</v>
      </c>
      <c r="M2" s="72">
        <v>2013</v>
      </c>
      <c r="N2" s="72">
        <v>2014</v>
      </c>
      <c r="O2" s="72">
        <v>2015</v>
      </c>
      <c r="P2" s="72">
        <v>2016</v>
      </c>
      <c r="Q2" s="72">
        <v>2017</v>
      </c>
      <c r="R2" s="72">
        <v>2018</v>
      </c>
      <c r="S2" s="72">
        <v>2019</v>
      </c>
      <c r="T2" s="72">
        <v>2020</v>
      </c>
    </row>
    <row r="3" spans="1:20" ht="30">
      <c r="A3" s="76">
        <v>2005</v>
      </c>
      <c r="B3" s="77">
        <v>26.9</v>
      </c>
      <c r="D3" s="69" t="s">
        <v>99</v>
      </c>
      <c r="E3" s="70">
        <v>26.9</v>
      </c>
      <c r="F3" s="70">
        <v>31</v>
      </c>
      <c r="G3" s="70">
        <v>26.1</v>
      </c>
      <c r="H3" s="70">
        <v>22.4</v>
      </c>
      <c r="I3" s="70">
        <v>21.8</v>
      </c>
      <c r="J3" s="70">
        <v>25.9</v>
      </c>
      <c r="K3" s="70">
        <v>23</v>
      </c>
      <c r="L3" s="70">
        <v>15.5</v>
      </c>
      <c r="M3" s="70">
        <v>20.7</v>
      </c>
      <c r="N3" s="70">
        <v>13.3</v>
      </c>
      <c r="O3" s="70">
        <v>13.04</v>
      </c>
      <c r="P3" s="70">
        <v>3.92</v>
      </c>
      <c r="Q3" s="70">
        <v>1.45</v>
      </c>
      <c r="R3" s="70">
        <v>1.02</v>
      </c>
      <c r="S3" s="70">
        <v>0.32</v>
      </c>
      <c r="T3" s="70">
        <v>0.41</v>
      </c>
    </row>
    <row r="4" spans="1:20" ht="15">
      <c r="A4" s="76">
        <v>2006</v>
      </c>
      <c r="B4" s="77">
        <v>31</v>
      </c>
    </row>
    <row r="5" spans="1:20" ht="15">
      <c r="A5" s="76">
        <v>2007</v>
      </c>
      <c r="B5" s="77">
        <v>26.1</v>
      </c>
    </row>
    <row r="6" spans="1:20" ht="15">
      <c r="A6" s="76">
        <v>2008</v>
      </c>
      <c r="B6" s="77">
        <v>22.4</v>
      </c>
    </row>
    <row r="7" spans="1:20" ht="15">
      <c r="A7" s="76">
        <v>2009</v>
      </c>
      <c r="B7" s="77">
        <v>21.8</v>
      </c>
    </row>
    <row r="8" spans="1:20" ht="15">
      <c r="A8" s="76">
        <v>2010</v>
      </c>
      <c r="B8" s="77">
        <v>25.9</v>
      </c>
    </row>
    <row r="9" spans="1:20" ht="15">
      <c r="A9" s="76">
        <v>2011</v>
      </c>
      <c r="B9" s="77">
        <v>23</v>
      </c>
    </row>
    <row r="10" spans="1:20" ht="15">
      <c r="A10" s="76">
        <v>2012</v>
      </c>
      <c r="B10" s="77">
        <v>15.5</v>
      </c>
    </row>
    <row r="11" spans="1:20" ht="15">
      <c r="A11" s="76">
        <v>2013</v>
      </c>
      <c r="B11" s="77">
        <v>20.7</v>
      </c>
    </row>
    <row r="12" spans="1:20" ht="15">
      <c r="A12" s="76">
        <v>2014</v>
      </c>
      <c r="B12" s="77">
        <v>13.3</v>
      </c>
    </row>
    <row r="13" spans="1:20" ht="15">
      <c r="A13" s="76">
        <v>2015</v>
      </c>
      <c r="B13" s="73">
        <v>13</v>
      </c>
    </row>
    <row r="14" spans="1:20" ht="15">
      <c r="A14" s="76">
        <v>2016</v>
      </c>
      <c r="B14" s="77">
        <v>4</v>
      </c>
    </row>
    <row r="15" spans="1:20" ht="15">
      <c r="A15" s="76">
        <v>2017</v>
      </c>
      <c r="B15" s="77">
        <v>1</v>
      </c>
    </row>
    <row r="16" spans="1:20" ht="15">
      <c r="A16" s="76">
        <v>2018</v>
      </c>
      <c r="B16" s="77">
        <v>1.02</v>
      </c>
    </row>
    <row r="17" spans="1:2" ht="15">
      <c r="A17" s="76">
        <v>2019</v>
      </c>
      <c r="B17" s="77">
        <v>0.32</v>
      </c>
    </row>
    <row r="18" spans="1:2" ht="15">
      <c r="A18" s="76">
        <v>2020</v>
      </c>
      <c r="B18" s="77">
        <v>0.41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AK119"/>
  <sheetViews>
    <sheetView showGridLines="0" tabSelected="1" zoomScale="115" zoomScaleNormal="115" workbookViewId="0">
      <pane xSplit="1" ySplit="4" topLeftCell="B5" activePane="bottomRight" state="frozen"/>
      <selection pane="topRight" activeCell="C1" sqref="C1"/>
      <selection pane="bottomLeft" activeCell="A8" sqref="A8"/>
      <selection pane="bottomRight" activeCell="J69" sqref="J69"/>
    </sheetView>
  </sheetViews>
  <sheetFormatPr defaultColWidth="9.625" defaultRowHeight="12"/>
  <cols>
    <col min="1" max="1" width="27.125" customWidth="1"/>
    <col min="2" max="2" width="11.375" style="53" customWidth="1"/>
    <col min="3" max="9" width="15.125" style="53" bestFit="1" customWidth="1"/>
    <col min="10" max="10" width="13" style="52" bestFit="1" customWidth="1"/>
    <col min="11" max="11" width="15.125" style="52" bestFit="1" customWidth="1"/>
    <col min="12" max="13" width="15.125" style="52" customWidth="1"/>
    <col min="14" max="14" width="13.875" customWidth="1"/>
  </cols>
  <sheetData>
    <row r="1" spans="1:14" ht="16.5" customHeight="1">
      <c r="A1" s="24" t="s">
        <v>54</v>
      </c>
      <c r="B1" s="51"/>
      <c r="C1" s="51"/>
      <c r="D1" s="51"/>
      <c r="E1" s="51"/>
      <c r="F1" s="51"/>
      <c r="G1" s="51"/>
      <c r="H1" s="51"/>
      <c r="I1" s="51"/>
      <c r="J1" s="112"/>
      <c r="K1" s="112" t="s">
        <v>81</v>
      </c>
      <c r="L1" s="112"/>
      <c r="M1" s="112"/>
    </row>
    <row r="2" spans="1:14" ht="14.25" customHeight="1">
      <c r="B2" s="51"/>
      <c r="C2" s="51"/>
      <c r="D2" s="51"/>
      <c r="E2" s="51"/>
      <c r="F2" s="51"/>
      <c r="G2" s="51"/>
      <c r="H2" s="51"/>
      <c r="I2" s="51"/>
      <c r="J2" s="112"/>
      <c r="K2" s="112"/>
      <c r="L2" s="112"/>
      <c r="M2" s="112"/>
    </row>
    <row r="3" spans="1:14" ht="12.75">
      <c r="A3" s="1"/>
      <c r="J3" s="112"/>
      <c r="K3" s="112"/>
      <c r="L3" s="112"/>
      <c r="M3" s="112"/>
    </row>
    <row r="4" spans="1:14" ht="53.25" customHeight="1">
      <c r="A4" s="3"/>
      <c r="B4" s="54" t="s">
        <v>28</v>
      </c>
      <c r="C4" s="54" t="s">
        <v>29</v>
      </c>
      <c r="D4" s="54" t="s">
        <v>30</v>
      </c>
      <c r="E4" s="54" t="s">
        <v>31</v>
      </c>
      <c r="F4" s="54" t="s">
        <v>32</v>
      </c>
      <c r="G4" s="54" t="s">
        <v>57</v>
      </c>
      <c r="H4" s="54" t="s">
        <v>58</v>
      </c>
      <c r="I4" s="54" t="s">
        <v>59</v>
      </c>
      <c r="J4" s="54" t="s">
        <v>105</v>
      </c>
      <c r="K4" s="54" t="s">
        <v>106</v>
      </c>
      <c r="L4" s="54" t="s">
        <v>118</v>
      </c>
      <c r="M4" s="149">
        <v>2019</v>
      </c>
      <c r="N4" s="149">
        <v>2020</v>
      </c>
    </row>
    <row r="5" spans="1:14" ht="18" customHeight="1">
      <c r="A5" s="10" t="s">
        <v>75</v>
      </c>
      <c r="B5" s="55"/>
      <c r="C5" s="55"/>
      <c r="D5" s="55"/>
      <c r="E5" s="55"/>
      <c r="F5" s="55"/>
      <c r="G5" s="55"/>
      <c r="H5" s="55"/>
      <c r="I5" s="55"/>
      <c r="J5" s="78"/>
      <c r="K5" s="78"/>
      <c r="L5"/>
      <c r="M5"/>
    </row>
    <row r="6" spans="1:14" ht="13.5" customHeight="1">
      <c r="A6" s="30" t="s">
        <v>36</v>
      </c>
      <c r="B6" s="14">
        <v>980</v>
      </c>
      <c r="C6" s="14">
        <v>917.72799999999995</v>
      </c>
      <c r="D6" s="14">
        <v>1122.7641799999999</v>
      </c>
      <c r="E6" s="14">
        <v>843.78599999999994</v>
      </c>
      <c r="F6" s="14">
        <v>1070.1279999999999</v>
      </c>
      <c r="G6" s="14">
        <v>1078.0150000000001</v>
      </c>
      <c r="H6" s="14">
        <v>1214.125</v>
      </c>
      <c r="I6" s="86">
        <v>1186.154</v>
      </c>
      <c r="J6" s="85">
        <v>1478.4010000000001</v>
      </c>
      <c r="K6" s="85">
        <v>1670.432</v>
      </c>
      <c r="L6">
        <v>1707.537</v>
      </c>
      <c r="M6">
        <v>1794.029</v>
      </c>
      <c r="N6">
        <v>1536.864</v>
      </c>
    </row>
    <row r="7" spans="1:14" s="44" customFormat="1" ht="13.5" customHeight="1">
      <c r="A7" s="43" t="s">
        <v>87</v>
      </c>
      <c r="B7" s="56">
        <v>54102.302179999999</v>
      </c>
      <c r="C7" s="56">
        <f>C8*C6</f>
        <v>61616.257919999996</v>
      </c>
      <c r="D7" s="87">
        <f>D6*D8</f>
        <v>51388.916518599995</v>
      </c>
      <c r="E7" s="87">
        <f>E6*E8</f>
        <v>60896.035619999995</v>
      </c>
      <c r="F7" s="87">
        <f>F6*F8</f>
        <v>77188.332639999993</v>
      </c>
      <c r="G7" s="87">
        <f>G6*G8</f>
        <v>79988.713000000003</v>
      </c>
      <c r="H7" s="87">
        <f t="shared" ref="H7:K7" si="0">H6*H8</f>
        <v>81977.72</v>
      </c>
      <c r="I7" s="87">
        <f t="shared" si="0"/>
        <v>90017.227060000005</v>
      </c>
      <c r="J7" s="87">
        <f>J6*J8</f>
        <v>77231.668240000014</v>
      </c>
      <c r="K7" s="87">
        <f t="shared" si="0"/>
        <v>101144.65759999999</v>
      </c>
      <c r="L7" s="87">
        <f t="shared" ref="L7:N7" si="1">L6*L8</f>
        <v>77641.707389999996</v>
      </c>
      <c r="M7" s="87">
        <f t="shared" si="1"/>
        <v>76156.531050000005</v>
      </c>
      <c r="N7" s="87">
        <f t="shared" si="1"/>
        <v>84143.304000000004</v>
      </c>
    </row>
    <row r="8" spans="1:14" ht="13.5" customHeight="1">
      <c r="A8" s="30" t="s">
        <v>89</v>
      </c>
      <c r="B8" s="46">
        <v>55.2</v>
      </c>
      <c r="C8" s="46">
        <v>67.14</v>
      </c>
      <c r="D8" s="46">
        <v>45.77</v>
      </c>
      <c r="E8" s="46">
        <v>72.17</v>
      </c>
      <c r="F8" s="46">
        <v>72.13</v>
      </c>
      <c r="G8" s="46">
        <v>74.2</v>
      </c>
      <c r="H8" s="46">
        <v>67.52</v>
      </c>
      <c r="I8" s="46">
        <v>75.89</v>
      </c>
      <c r="J8" s="46">
        <v>52.24</v>
      </c>
      <c r="K8" s="46">
        <v>60.55</v>
      </c>
      <c r="L8" s="46">
        <v>45.47</v>
      </c>
      <c r="M8" s="46">
        <v>42.45</v>
      </c>
      <c r="N8" s="46">
        <v>54.75</v>
      </c>
    </row>
    <row r="9" spans="1:14" ht="13.5" customHeight="1">
      <c r="A9" s="30" t="s">
        <v>37</v>
      </c>
      <c r="B9" s="86">
        <v>5661.2950000000001</v>
      </c>
      <c r="C9" s="86">
        <v>5519.62</v>
      </c>
      <c r="D9" s="86">
        <v>3851.4290000000001</v>
      </c>
      <c r="E9" s="86">
        <v>4447.4960000000001</v>
      </c>
      <c r="F9" s="86">
        <v>5805.9480000000003</v>
      </c>
      <c r="G9" s="86">
        <v>4051.6590000000001</v>
      </c>
      <c r="H9" s="86">
        <v>4158.8689999999997</v>
      </c>
      <c r="I9" s="86">
        <v>3963.779</v>
      </c>
      <c r="J9" s="85">
        <v>3248</v>
      </c>
      <c r="K9" s="85">
        <v>3200.8429999999998</v>
      </c>
      <c r="L9" s="86">
        <v>2433.4090000000001</v>
      </c>
      <c r="M9" s="86">
        <v>2126.6759999999999</v>
      </c>
      <c r="N9" s="86">
        <v>2329.5239999999999</v>
      </c>
    </row>
    <row r="10" spans="1:14" s="49" customFormat="1" ht="13.5" customHeight="1">
      <c r="A10" s="47" t="s">
        <v>86</v>
      </c>
      <c r="B10" s="87">
        <f>8.48*B9</f>
        <v>48007.781600000002</v>
      </c>
      <c r="C10" s="87">
        <f>9*C9</f>
        <v>49676.58</v>
      </c>
      <c r="D10" s="87">
        <f>9.29*D9</f>
        <v>35779.775409999995</v>
      </c>
      <c r="E10" s="87">
        <f>10.61*E9</f>
        <v>47187.932560000001</v>
      </c>
      <c r="F10" s="87">
        <f>14.52*F9</f>
        <v>84302.364960000006</v>
      </c>
      <c r="G10" s="87">
        <f>11.01*G9</f>
        <v>44608.765590000003</v>
      </c>
      <c r="H10" s="87">
        <f>10.95*H9</f>
        <v>45539.615549999995</v>
      </c>
      <c r="I10" s="87">
        <f>11.94*I9</f>
        <v>47327.521260000001</v>
      </c>
      <c r="J10" s="88">
        <f>J9*12.54</f>
        <v>40729.919999999998</v>
      </c>
      <c r="K10" s="88">
        <f>K9*15.23</f>
        <v>48748.838889999999</v>
      </c>
      <c r="L10" s="126">
        <f>L9*13.2</f>
        <v>32120.998800000001</v>
      </c>
      <c r="M10" s="126">
        <f>M9*13.18</f>
        <v>28029.589679999997</v>
      </c>
      <c r="N10" s="126">
        <f>N9*10.41</f>
        <v>24250.344839999998</v>
      </c>
    </row>
    <row r="11" spans="1:14" ht="13.5" customHeight="1">
      <c r="A11" s="30" t="s">
        <v>38</v>
      </c>
      <c r="B11" s="86">
        <v>1441</v>
      </c>
      <c r="C11" s="86">
        <v>1124</v>
      </c>
      <c r="D11" s="86">
        <v>1389.7529999999999</v>
      </c>
      <c r="E11" s="86">
        <v>673.04300000000001</v>
      </c>
      <c r="F11" s="86">
        <v>880.48900000000003</v>
      </c>
      <c r="G11" s="86">
        <v>678.14700000000005</v>
      </c>
      <c r="H11" s="86">
        <v>576.23400000000004</v>
      </c>
      <c r="I11" s="86">
        <v>722.10400000000004</v>
      </c>
      <c r="J11" s="85">
        <v>370.964</v>
      </c>
      <c r="K11" s="85">
        <v>186.10599999999999</v>
      </c>
      <c r="L11" s="86">
        <v>205.47499999999999</v>
      </c>
      <c r="M11" s="86">
        <v>222.28800000000001</v>
      </c>
      <c r="N11" s="86">
        <v>144.84700000000001</v>
      </c>
    </row>
    <row r="12" spans="1:14" s="49" customFormat="1" ht="13.5" customHeight="1">
      <c r="A12" s="47" t="s">
        <v>85</v>
      </c>
      <c r="B12" s="87">
        <f>3.58*B11</f>
        <v>5158.78</v>
      </c>
      <c r="C12" s="87">
        <f>4.8*C11</f>
        <v>5395.2</v>
      </c>
      <c r="D12" s="87">
        <f>5.07*D11</f>
        <v>7046.0477099999998</v>
      </c>
      <c r="E12" s="87">
        <f>5.07*E11</f>
        <v>3412.3280100000002</v>
      </c>
      <c r="F12" s="87">
        <f>8.86*F11</f>
        <v>7801.1325399999996</v>
      </c>
      <c r="G12" s="87">
        <f>9.35*G11</f>
        <v>6340.6744500000004</v>
      </c>
      <c r="H12" s="87">
        <f>9.87*H11</f>
        <v>5687.42958</v>
      </c>
      <c r="I12" s="87">
        <f>9.92*I11</f>
        <v>7163.2716800000007</v>
      </c>
      <c r="J12" s="88">
        <f>J11*10.1</f>
        <v>3746.7363999999998</v>
      </c>
      <c r="K12" s="88">
        <f>K11*11.68</f>
        <v>2173.7180800000001</v>
      </c>
      <c r="L12" s="126">
        <f>L11*11.94</f>
        <v>2453.3714999999997</v>
      </c>
      <c r="M12" s="126">
        <f>M11*20.47</f>
        <v>4550.2353599999997</v>
      </c>
      <c r="N12" s="126">
        <f>N11*17.74</f>
        <v>2569.5857799999999</v>
      </c>
    </row>
    <row r="13" spans="1:14" ht="13.5" customHeight="1">
      <c r="A13" s="30"/>
      <c r="B13" s="14"/>
      <c r="C13" s="14"/>
      <c r="D13" s="14"/>
      <c r="E13" s="14"/>
      <c r="F13" s="14"/>
      <c r="G13" s="14"/>
      <c r="H13" s="14"/>
      <c r="I13" s="14"/>
      <c r="J13" s="78"/>
      <c r="K13" s="78"/>
      <c r="L13"/>
      <c r="M13"/>
    </row>
    <row r="14" spans="1:14" ht="13.5" customHeight="1">
      <c r="A14" s="30" t="s">
        <v>41</v>
      </c>
      <c r="B14" s="14">
        <v>3751</v>
      </c>
      <c r="C14" s="14">
        <v>3752</v>
      </c>
      <c r="D14" s="14">
        <v>4288</v>
      </c>
      <c r="E14" s="14">
        <v>4084.701</v>
      </c>
      <c r="F14" s="14">
        <v>5716.2539999999999</v>
      </c>
      <c r="G14" s="14">
        <v>5446.8130000000001</v>
      </c>
      <c r="H14" s="86">
        <v>5661.558</v>
      </c>
      <c r="I14" s="86">
        <v>5447.9759999999997</v>
      </c>
      <c r="J14" s="85">
        <v>3892.1509999999998</v>
      </c>
      <c r="K14" s="85">
        <v>4693.8419999999996</v>
      </c>
      <c r="L14" s="32">
        <v>4337.1109999999999</v>
      </c>
      <c r="M14" s="32">
        <v>4621.1499999999996</v>
      </c>
      <c r="N14" s="32">
        <v>5001.1409999999996</v>
      </c>
    </row>
    <row r="15" spans="1:14" s="49" customFormat="1" ht="13.5" customHeight="1">
      <c r="A15" s="47" t="s">
        <v>82</v>
      </c>
      <c r="B15" s="89">
        <v>65648.165999999997</v>
      </c>
      <c r="C15" s="89">
        <v>66690</v>
      </c>
      <c r="D15" s="89">
        <v>76557.672000000006</v>
      </c>
      <c r="E15" s="89">
        <v>73158.311000000002</v>
      </c>
      <c r="F15" s="89">
        <v>94889.813999999998</v>
      </c>
      <c r="G15" s="89">
        <v>88470.691000000006</v>
      </c>
      <c r="H15" s="89">
        <v>91178.278000000006</v>
      </c>
      <c r="I15" s="89">
        <v>96538.134000000005</v>
      </c>
      <c r="J15" s="88">
        <v>69910.816000000006</v>
      </c>
      <c r="K15" s="88">
        <v>81765.09</v>
      </c>
      <c r="L15" s="126">
        <v>74265.89</v>
      </c>
      <c r="M15" s="126">
        <v>79523.217000000004</v>
      </c>
      <c r="N15" s="126">
        <v>87498.815000000002</v>
      </c>
    </row>
    <row r="16" spans="1:14" ht="13.5" customHeight="1">
      <c r="A16" s="30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37" ht="13.5" customHeight="1">
      <c r="A17" s="38" t="s">
        <v>76</v>
      </c>
      <c r="B17" s="14"/>
      <c r="C17" s="14"/>
      <c r="D17" s="14"/>
      <c r="E17" s="14"/>
      <c r="F17" s="14"/>
      <c r="G17" s="14"/>
      <c r="H17" s="14"/>
      <c r="I17" s="14"/>
      <c r="J17" s="78"/>
      <c r="K17" s="78"/>
      <c r="L17"/>
      <c r="M17"/>
    </row>
    <row r="18" spans="1:37" s="37" customFormat="1" ht="13.5" customHeight="1">
      <c r="A18" s="90" t="s">
        <v>96</v>
      </c>
      <c r="B18" s="84">
        <v>81684</v>
      </c>
      <c r="C18" s="84">
        <v>126400.995</v>
      </c>
      <c r="D18" s="84">
        <v>127975</v>
      </c>
      <c r="E18" s="103">
        <v>138241</v>
      </c>
      <c r="F18" s="103">
        <v>139929.97700000001</v>
      </c>
      <c r="G18" s="103">
        <v>158567.443</v>
      </c>
      <c r="H18" s="103">
        <v>152490.63500000001</v>
      </c>
      <c r="I18" s="103">
        <v>127209.413</v>
      </c>
      <c r="J18" s="104">
        <v>144977.995</v>
      </c>
      <c r="K18" s="85">
        <v>197390.815</v>
      </c>
      <c r="L18" s="122">
        <v>171442.799</v>
      </c>
      <c r="M18" s="122">
        <v>127976.895</v>
      </c>
      <c r="N18" s="122">
        <v>183728.14499999999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</row>
    <row r="19" spans="1:37" s="50" customFormat="1" ht="13.5" customHeight="1">
      <c r="A19" s="92" t="s">
        <v>83</v>
      </c>
      <c r="B19" s="88">
        <f>0.27*B18</f>
        <v>22054.68</v>
      </c>
      <c r="C19" s="88">
        <f>0.27*C18</f>
        <v>34128.268649999998</v>
      </c>
      <c r="D19" s="88">
        <f>0.3*D18</f>
        <v>38392.5</v>
      </c>
      <c r="E19" s="88">
        <f>0.3*E18</f>
        <v>41472.299999999996</v>
      </c>
      <c r="F19" s="88">
        <f>0.27*F18</f>
        <v>37781.093790000006</v>
      </c>
      <c r="G19" s="88">
        <f>0.3*G18</f>
        <v>47570.232899999995</v>
      </c>
      <c r="H19" s="88">
        <f>0.3*H18</f>
        <v>45747.190500000004</v>
      </c>
      <c r="I19" s="88">
        <f>0.3*I18</f>
        <v>38162.823899999996</v>
      </c>
      <c r="J19" s="88">
        <f>0.3*J18</f>
        <v>43493.398499999996</v>
      </c>
      <c r="K19" s="88">
        <f>0.25*K18</f>
        <v>49347.703750000001</v>
      </c>
      <c r="L19" s="127">
        <f>L18*0.23</f>
        <v>39431.843769999999</v>
      </c>
      <c r="M19" s="127">
        <v>31876.06</v>
      </c>
      <c r="N19" s="127">
        <v>51443.880599999997</v>
      </c>
      <c r="O19" s="83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</row>
    <row r="20" spans="1:37" s="37" customFormat="1" ht="13.5" customHeight="1">
      <c r="A20" s="90"/>
      <c r="B20" s="84"/>
      <c r="C20" s="84"/>
      <c r="D20" s="84"/>
      <c r="E20" s="84"/>
      <c r="F20" s="84"/>
      <c r="G20" s="84"/>
      <c r="H20" s="84"/>
      <c r="I20" s="84"/>
      <c r="J20" s="93"/>
      <c r="K20" s="78"/>
      <c r="L20" s="82"/>
      <c r="M20" s="82"/>
      <c r="N20" s="82"/>
      <c r="O20" s="94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</row>
    <row r="21" spans="1:37" s="37" customFormat="1" ht="13.5" customHeight="1">
      <c r="A21" s="90" t="s">
        <v>40</v>
      </c>
      <c r="B21" s="84">
        <v>25971</v>
      </c>
      <c r="C21" s="84">
        <v>45449</v>
      </c>
      <c r="D21" s="84">
        <v>45246</v>
      </c>
      <c r="E21" s="84">
        <v>42068</v>
      </c>
      <c r="F21" s="84">
        <v>27155.356</v>
      </c>
      <c r="G21" s="84">
        <v>45205.451999999997</v>
      </c>
      <c r="H21" s="84">
        <v>35845.114999999998</v>
      </c>
      <c r="I21" s="84">
        <v>27917.407999999999</v>
      </c>
      <c r="J21" s="85">
        <v>35720.675999999999</v>
      </c>
      <c r="K21" s="85">
        <v>41338.6</v>
      </c>
      <c r="L21" s="80">
        <v>29487.154999999999</v>
      </c>
      <c r="M21" s="80">
        <v>30643.7</v>
      </c>
      <c r="N21" s="80">
        <v>30736.9</v>
      </c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</row>
    <row r="22" spans="1:37" s="45" customFormat="1" ht="13.5" customHeight="1">
      <c r="A22" s="95" t="s">
        <v>84</v>
      </c>
      <c r="B22" s="88">
        <f>0.25*B21</f>
        <v>6492.75</v>
      </c>
      <c r="C22" s="88">
        <f>0.33*C21</f>
        <v>14998.17</v>
      </c>
      <c r="D22" s="88">
        <f>0.33*D21</f>
        <v>14931.18</v>
      </c>
      <c r="E22" s="88">
        <f>0.33*E21</f>
        <v>13882.44</v>
      </c>
      <c r="F22" s="88">
        <f>0.25*F21</f>
        <v>6788.8389999999999</v>
      </c>
      <c r="G22" s="88">
        <f>0.3*G21</f>
        <v>13561.6356</v>
      </c>
      <c r="H22" s="88">
        <f>0.4*H21</f>
        <v>14338.046</v>
      </c>
      <c r="I22" s="88">
        <f>0.45*I21</f>
        <v>12562.8336</v>
      </c>
      <c r="J22" s="88">
        <f t="shared" ref="J22" si="2">0.45*J21</f>
        <v>16074.3042</v>
      </c>
      <c r="K22" s="88">
        <f>0.4*K21</f>
        <v>16535.439999999999</v>
      </c>
      <c r="L22" s="88">
        <f>0.4*L21</f>
        <v>11794.862000000001</v>
      </c>
      <c r="M22" s="88">
        <f>M21*0.4</f>
        <v>12257.480000000001</v>
      </c>
      <c r="N22" s="88">
        <f>N21*0.4</f>
        <v>12294.760000000002</v>
      </c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</row>
    <row r="23" spans="1:37" s="37" customFormat="1" ht="13.5" customHeight="1">
      <c r="A23" s="90"/>
      <c r="B23" s="84"/>
      <c r="C23" s="84"/>
      <c r="D23" s="84"/>
      <c r="E23" s="84"/>
      <c r="F23" s="84"/>
      <c r="G23" s="84"/>
      <c r="H23" s="84"/>
      <c r="I23" s="84"/>
      <c r="J23" s="78"/>
      <c r="K23" s="78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</row>
    <row r="24" spans="1:37" ht="13.5" customHeight="1">
      <c r="A24" s="30" t="s">
        <v>78</v>
      </c>
      <c r="B24" s="106">
        <v>54</v>
      </c>
      <c r="C24" s="106">
        <v>1290</v>
      </c>
      <c r="D24" s="106">
        <v>2902</v>
      </c>
      <c r="E24" s="106">
        <v>1313</v>
      </c>
      <c r="F24" s="107">
        <v>2331</v>
      </c>
      <c r="G24" s="107">
        <v>9284</v>
      </c>
      <c r="H24" s="106">
        <v>8547</v>
      </c>
      <c r="I24" s="106">
        <v>11240</v>
      </c>
      <c r="J24" s="104">
        <v>17149.73</v>
      </c>
      <c r="K24" s="85">
        <v>28740.49</v>
      </c>
      <c r="L24" s="80">
        <v>25961.386999999999</v>
      </c>
      <c r="M24" s="80">
        <v>17238.377</v>
      </c>
      <c r="N24" s="80">
        <v>30136.746999999999</v>
      </c>
    </row>
    <row r="25" spans="1:37" s="49" customFormat="1" ht="13.5" customHeight="1">
      <c r="A25" s="47" t="s">
        <v>83</v>
      </c>
      <c r="B25" s="87">
        <f>0.34*B24</f>
        <v>18.360000000000003</v>
      </c>
      <c r="C25" s="87">
        <f>0.34*C24</f>
        <v>438.6</v>
      </c>
      <c r="D25" s="87">
        <f>0.34*D24</f>
        <v>986.68000000000006</v>
      </c>
      <c r="E25" s="87">
        <f>0.34*E24</f>
        <v>446.42</v>
      </c>
      <c r="F25" s="87">
        <f>0.8*F24</f>
        <v>1864.8000000000002</v>
      </c>
      <c r="G25" s="87">
        <f>0.85*G24</f>
        <v>7891.4</v>
      </c>
      <c r="H25" s="87">
        <f>0.4*H24</f>
        <v>3418.8</v>
      </c>
      <c r="I25" s="87">
        <f>0.47*I24</f>
        <v>5282.7999999999993</v>
      </c>
      <c r="J25" s="105">
        <f>0.5*J24</f>
        <v>8574.8649999999998</v>
      </c>
      <c r="K25" s="88">
        <f>0.45*K24</f>
        <v>12933.220500000001</v>
      </c>
      <c r="L25" s="88">
        <f>0.45*L24</f>
        <v>11682.62415</v>
      </c>
      <c r="M25" s="88">
        <f>M24*0.43</f>
        <v>7412.5021100000004</v>
      </c>
      <c r="N25" s="88">
        <f>N24*0.48</f>
        <v>14465.638559999999</v>
      </c>
    </row>
    <row r="26" spans="1:37" ht="13.5" customHeight="1">
      <c r="A26" s="30"/>
      <c r="B26" s="98"/>
      <c r="C26" s="98"/>
      <c r="D26" s="98"/>
      <c r="E26" s="98"/>
      <c r="F26" s="99"/>
      <c r="G26" s="99"/>
      <c r="H26" s="98"/>
      <c r="I26" s="98"/>
      <c r="J26" s="79"/>
      <c r="K26" s="78"/>
      <c r="L26" s="80"/>
      <c r="M26" s="80"/>
      <c r="N26" s="80"/>
    </row>
    <row r="27" spans="1:37" ht="13.5" customHeight="1">
      <c r="A27" s="30" t="s">
        <v>79</v>
      </c>
      <c r="B27" s="108">
        <v>6761.7</v>
      </c>
      <c r="C27" s="108">
        <v>8097.7</v>
      </c>
      <c r="D27" s="108">
        <v>5904.2</v>
      </c>
      <c r="E27" s="108">
        <v>7021.4</v>
      </c>
      <c r="F27" s="108">
        <v>5997</v>
      </c>
      <c r="G27" s="108">
        <v>6447.1</v>
      </c>
      <c r="H27" s="108">
        <v>4478.6000000000004</v>
      </c>
      <c r="I27" s="108">
        <v>5958.8</v>
      </c>
      <c r="J27" s="104">
        <v>9075.2999999999993</v>
      </c>
      <c r="K27" s="85">
        <v>3681.2</v>
      </c>
      <c r="L27" s="122">
        <v>3406.4</v>
      </c>
      <c r="M27" s="122">
        <v>4475.8</v>
      </c>
      <c r="N27" s="122">
        <v>5775</v>
      </c>
    </row>
    <row r="28" spans="1:37" s="49" customFormat="1" ht="13.5" customHeight="1">
      <c r="A28" s="47" t="s">
        <v>83</v>
      </c>
      <c r="B28" s="87">
        <f>0.45*B27</f>
        <v>3042.7649999999999</v>
      </c>
      <c r="C28" s="87">
        <f>0.75*C27</f>
        <v>6073.2749999999996</v>
      </c>
      <c r="D28" s="87">
        <f>0.8*D27</f>
        <v>4723.3599999999997</v>
      </c>
      <c r="E28" s="87">
        <f>0.9*E27</f>
        <v>6319.26</v>
      </c>
      <c r="F28" s="87">
        <f>0.95*F27</f>
        <v>5697.15</v>
      </c>
      <c r="G28" s="87">
        <f>1*G27</f>
        <v>6447.1</v>
      </c>
      <c r="H28" s="87">
        <f>1*G27</f>
        <v>6447.1</v>
      </c>
      <c r="I28" s="87">
        <f>0.9*I27</f>
        <v>5362.92</v>
      </c>
      <c r="J28" s="105">
        <f>0.5*J27</f>
        <v>4537.6499999999996</v>
      </c>
      <c r="K28" s="105">
        <f>0.68*K27</f>
        <v>2503.2159999999999</v>
      </c>
      <c r="L28" s="105">
        <f>0.65*L27</f>
        <v>2214.1600000000003</v>
      </c>
      <c r="M28" s="105">
        <f>M27*0.9</f>
        <v>4028.2200000000003</v>
      </c>
      <c r="N28" s="105">
        <f>N27*0.95</f>
        <v>5486.25</v>
      </c>
    </row>
    <row r="29" spans="1:37" ht="13.5" customHeight="1">
      <c r="A29" s="30"/>
      <c r="B29" s="57"/>
      <c r="C29" s="57"/>
      <c r="D29" s="57"/>
      <c r="E29" s="57"/>
      <c r="F29" s="57"/>
      <c r="G29" s="57"/>
      <c r="H29" s="57"/>
      <c r="I29" s="57"/>
      <c r="J29" s="79"/>
      <c r="K29" s="78"/>
      <c r="L29" s="82"/>
      <c r="M29" s="82"/>
      <c r="N29" s="82"/>
    </row>
    <row r="30" spans="1:37" ht="13.5" customHeight="1">
      <c r="A30" s="30" t="s">
        <v>52</v>
      </c>
      <c r="B30" s="86">
        <v>5533</v>
      </c>
      <c r="C30" s="86">
        <v>5874</v>
      </c>
      <c r="D30" s="86">
        <v>14573</v>
      </c>
      <c r="E30" s="86">
        <v>8167</v>
      </c>
      <c r="F30" s="86">
        <v>13318</v>
      </c>
      <c r="G30" s="86">
        <v>12479</v>
      </c>
      <c r="H30" s="86">
        <v>10340</v>
      </c>
      <c r="I30" s="86">
        <v>21239</v>
      </c>
      <c r="J30" s="104">
        <v>9680.3700000000008</v>
      </c>
      <c r="K30" s="85">
        <v>11541.3</v>
      </c>
      <c r="L30" s="122">
        <v>11987.85</v>
      </c>
      <c r="M30" s="122">
        <v>11671.424999999999</v>
      </c>
      <c r="N30" s="122">
        <v>11347.192999999999</v>
      </c>
    </row>
    <row r="31" spans="1:37" s="44" customFormat="1" ht="13.5" customHeight="1">
      <c r="A31" s="43" t="s">
        <v>83</v>
      </c>
      <c r="B31" s="87">
        <f>1.2*B30</f>
        <v>6639.5999999999995</v>
      </c>
      <c r="C31" s="87">
        <f>1.45*C30</f>
        <v>8517.2999999999993</v>
      </c>
      <c r="D31" s="87">
        <f>1.45*D30</f>
        <v>21130.85</v>
      </c>
      <c r="E31" s="87">
        <f>1.45*E30</f>
        <v>11842.15</v>
      </c>
      <c r="F31" s="87">
        <f>0.9*F30</f>
        <v>11986.2</v>
      </c>
      <c r="G31" s="87">
        <f>0.8*G30</f>
        <v>9983.2000000000007</v>
      </c>
      <c r="H31" s="87">
        <f>0.85*H30</f>
        <v>8789</v>
      </c>
      <c r="I31" s="87">
        <f>0.75*I30</f>
        <v>15929.25</v>
      </c>
      <c r="J31" s="105">
        <f>0.7*J30</f>
        <v>6776.259</v>
      </c>
      <c r="K31" s="105">
        <f>0.97*K30</f>
        <v>11195.061</v>
      </c>
      <c r="L31" s="105">
        <f>0.9*L30</f>
        <v>10789.065000000001</v>
      </c>
      <c r="M31" s="105">
        <f>M30*0.9</f>
        <v>10504.282499999999</v>
      </c>
      <c r="N31" s="105">
        <f>N30*0.95</f>
        <v>10779.833349999999</v>
      </c>
    </row>
    <row r="32" spans="1:37" ht="13.5" customHeight="1">
      <c r="A32" s="30"/>
      <c r="B32" s="58"/>
      <c r="C32" s="58"/>
      <c r="D32" s="58"/>
      <c r="E32" s="58"/>
      <c r="F32" s="58"/>
      <c r="G32" s="58"/>
      <c r="H32" s="58"/>
      <c r="I32" s="58"/>
      <c r="J32" s="79"/>
      <c r="K32" s="78"/>
      <c r="L32" s="82"/>
      <c r="M32" s="82"/>
      <c r="N32" s="82"/>
    </row>
    <row r="33" spans="1:20" s="37" customFormat="1" ht="13.5" customHeight="1">
      <c r="A33" s="90" t="s">
        <v>73</v>
      </c>
      <c r="B33" s="109">
        <v>23567</v>
      </c>
      <c r="C33" s="109">
        <v>20560</v>
      </c>
      <c r="D33" s="109">
        <v>43908</v>
      </c>
      <c r="E33" s="109">
        <v>22004</v>
      </c>
      <c r="F33" s="110">
        <v>34914</v>
      </c>
      <c r="G33" s="110">
        <v>42995</v>
      </c>
      <c r="H33" s="109">
        <v>20043</v>
      </c>
      <c r="I33" s="109">
        <v>23355</v>
      </c>
      <c r="J33" s="104">
        <v>21146.18</v>
      </c>
      <c r="K33" s="85">
        <v>22242.9</v>
      </c>
      <c r="L33" s="123">
        <v>18078.7</v>
      </c>
      <c r="M33" s="123">
        <v>29024.1</v>
      </c>
      <c r="N33" s="123">
        <v>32463.96</v>
      </c>
      <c r="O33" s="80"/>
      <c r="P33" s="80"/>
      <c r="Q33" s="80"/>
      <c r="R33" s="80"/>
      <c r="S33" s="80"/>
      <c r="T33" s="80"/>
    </row>
    <row r="34" spans="1:20" s="50" customFormat="1" ht="13.5" customHeight="1">
      <c r="A34" s="92" t="s">
        <v>83</v>
      </c>
      <c r="B34" s="88">
        <f>0.2*B33</f>
        <v>4713.4000000000005</v>
      </c>
      <c r="C34" s="88">
        <f>0.25*C33</f>
        <v>5140</v>
      </c>
      <c r="D34" s="88">
        <f>0.25*D33</f>
        <v>10977</v>
      </c>
      <c r="E34" s="88">
        <f>0.25*E33</f>
        <v>5501</v>
      </c>
      <c r="F34" s="88">
        <f>0.25*F33</f>
        <v>8728.5</v>
      </c>
      <c r="G34" s="88">
        <f>0.3*G33</f>
        <v>12898.5</v>
      </c>
      <c r="H34" s="88">
        <f>0.3*H33</f>
        <v>6012.9</v>
      </c>
      <c r="I34" s="88">
        <f>0.35*I33</f>
        <v>8174.2499999999991</v>
      </c>
      <c r="J34" s="88">
        <f>0.22*J33</f>
        <v>4652.1596</v>
      </c>
      <c r="K34" s="88">
        <f>0.18*K33</f>
        <v>4003.7220000000002</v>
      </c>
      <c r="L34" s="88">
        <f>0.25*L33</f>
        <v>4519.6750000000002</v>
      </c>
      <c r="M34" s="88">
        <f>M33*0.22</f>
        <v>6385.3019999999997</v>
      </c>
      <c r="N34" s="88">
        <f>N33*0.22</f>
        <v>7142.0711999999994</v>
      </c>
      <c r="O34" s="81"/>
      <c r="P34" s="81"/>
      <c r="Q34" s="81"/>
      <c r="R34" s="81"/>
      <c r="S34" s="81"/>
      <c r="T34" s="81"/>
    </row>
    <row r="35" spans="1:20" s="37" customFormat="1" ht="13.5" customHeight="1">
      <c r="A35" s="90"/>
      <c r="B35" s="100"/>
      <c r="C35" s="100"/>
      <c r="D35" s="100"/>
      <c r="E35" s="100"/>
      <c r="F35" s="101"/>
      <c r="G35" s="101"/>
      <c r="H35" s="100"/>
      <c r="I35" s="100"/>
      <c r="J35" s="79"/>
      <c r="K35" s="78"/>
      <c r="L35" s="80"/>
      <c r="M35" s="80"/>
      <c r="N35" s="80"/>
      <c r="O35" s="80"/>
      <c r="P35" s="80"/>
      <c r="Q35" s="80"/>
      <c r="R35" s="80"/>
      <c r="S35" s="80"/>
      <c r="T35" s="80"/>
    </row>
    <row r="36" spans="1:20" ht="13.5" customHeight="1">
      <c r="A36" s="90"/>
      <c r="B36" s="84"/>
      <c r="C36" s="84"/>
      <c r="D36" s="84"/>
      <c r="E36" s="84"/>
      <c r="F36" s="84"/>
      <c r="G36" s="84"/>
      <c r="H36" s="84"/>
      <c r="I36" s="84"/>
      <c r="J36" s="78"/>
      <c r="K36" s="78"/>
      <c r="L36" s="80"/>
      <c r="M36" s="80"/>
      <c r="N36" s="80"/>
      <c r="O36" s="80"/>
      <c r="P36" s="80"/>
      <c r="Q36" s="80"/>
      <c r="R36" s="80"/>
      <c r="S36" s="80"/>
      <c r="T36" s="80"/>
    </row>
    <row r="37" spans="1:20" ht="13.5" customHeight="1">
      <c r="A37" s="90"/>
      <c r="B37" s="84"/>
      <c r="C37" s="84"/>
      <c r="D37" s="84"/>
      <c r="E37" s="84"/>
      <c r="F37" s="84"/>
      <c r="G37" s="84"/>
      <c r="H37" s="84"/>
      <c r="I37" s="84"/>
      <c r="J37" s="78"/>
      <c r="K37" s="78"/>
      <c r="L37" s="80"/>
      <c r="M37" s="80"/>
      <c r="N37" s="80"/>
      <c r="O37" s="80"/>
      <c r="P37" s="80"/>
      <c r="Q37" s="80"/>
      <c r="R37" s="80"/>
      <c r="S37" s="80"/>
      <c r="T37" s="80"/>
    </row>
    <row r="38" spans="1:20" ht="14.25" customHeight="1">
      <c r="A38" s="102" t="s">
        <v>77</v>
      </c>
      <c r="B38" s="84"/>
      <c r="C38" s="84"/>
      <c r="D38" s="84"/>
      <c r="E38" s="84"/>
      <c r="F38" s="84"/>
      <c r="G38" s="84"/>
      <c r="H38" s="84"/>
      <c r="I38" s="84"/>
      <c r="J38" s="78"/>
      <c r="K38" s="78"/>
      <c r="L38" s="80"/>
      <c r="M38" s="80"/>
      <c r="N38" s="80"/>
      <c r="O38" s="80"/>
      <c r="P38" s="80"/>
      <c r="Q38" s="80"/>
      <c r="R38" s="80"/>
      <c r="S38" s="80"/>
      <c r="T38" s="80"/>
    </row>
    <row r="39" spans="1:20" ht="14.25" customHeight="1">
      <c r="A39" s="102" t="s">
        <v>60</v>
      </c>
      <c r="B39" s="84"/>
      <c r="C39" s="84"/>
      <c r="D39" s="84"/>
      <c r="E39" s="84"/>
      <c r="F39" s="84"/>
      <c r="G39" s="84"/>
      <c r="H39" s="84"/>
      <c r="I39" s="84"/>
      <c r="J39" s="78"/>
      <c r="K39" s="78"/>
      <c r="L39" s="80"/>
      <c r="M39" s="80"/>
      <c r="N39" s="80"/>
      <c r="O39" s="80"/>
      <c r="P39" s="80"/>
      <c r="Q39" s="80"/>
      <c r="R39" s="80"/>
      <c r="S39" s="80"/>
      <c r="T39" s="80"/>
    </row>
    <row r="40" spans="1:20" s="37" customFormat="1" ht="13.5" customHeight="1">
      <c r="A40" s="91" t="s">
        <v>68</v>
      </c>
      <c r="B40" s="84">
        <f>'[1]2001-2011 (INPUT)'!I306</f>
        <v>8401</v>
      </c>
      <c r="C40" s="84">
        <f>'[1]2001-2011 (INPUT)'!J306</f>
        <v>7961</v>
      </c>
      <c r="D40" s="84">
        <f>'[1]2001-2011 (INPUT)'!K306</f>
        <v>7414</v>
      </c>
      <c r="E40" s="84">
        <f>'[1]2001-2011 (INPUT)'!L306</f>
        <v>7861</v>
      </c>
      <c r="F40" s="84">
        <v>8157</v>
      </c>
      <c r="G40" s="84">
        <v>9052</v>
      </c>
      <c r="H40" s="84">
        <v>7588</v>
      </c>
      <c r="I40" s="84">
        <v>7834</v>
      </c>
      <c r="J40" s="78">
        <v>7093</v>
      </c>
      <c r="K40" s="78">
        <v>7268</v>
      </c>
      <c r="L40" s="80">
        <v>8736</v>
      </c>
      <c r="M40" s="80">
        <v>8539</v>
      </c>
      <c r="N40" s="80">
        <v>7733</v>
      </c>
      <c r="O40" s="80"/>
      <c r="P40" s="80"/>
      <c r="Q40" s="80"/>
      <c r="R40" s="80"/>
      <c r="S40" s="80"/>
      <c r="T40" s="80"/>
    </row>
    <row r="41" spans="1:20" s="37" customFormat="1" ht="13.5" customHeight="1">
      <c r="A41" s="91" t="s">
        <v>67</v>
      </c>
      <c r="B41" s="84">
        <f>'[1]2001-2011 (INPUT)'!I308/1000</f>
        <v>3780.45</v>
      </c>
      <c r="C41" s="84">
        <f>'[1]2001-2011 (INPUT)'!J308/1000</f>
        <v>3582.45</v>
      </c>
      <c r="D41" s="84">
        <f>'[1]2001-2011 (INPUT)'!K308/1000</f>
        <v>3336.48</v>
      </c>
      <c r="E41" s="84">
        <f>'[1]2001-2011 (INPUT)'!L308/1000</f>
        <v>3537.45</v>
      </c>
      <c r="F41" s="84">
        <v>3670.65</v>
      </c>
      <c r="G41" s="84">
        <v>4073.4</v>
      </c>
      <c r="H41" s="84">
        <v>3414.6</v>
      </c>
      <c r="I41" s="84">
        <v>3525.48</v>
      </c>
      <c r="J41" s="78">
        <v>3191.8319999999999</v>
      </c>
      <c r="K41" s="78">
        <v>3270.4560000000001</v>
      </c>
      <c r="L41" s="80">
        <v>3931.2</v>
      </c>
      <c r="M41" s="80">
        <v>3842.4960000000001</v>
      </c>
      <c r="N41" s="80">
        <v>3479.85</v>
      </c>
      <c r="O41" s="80"/>
      <c r="P41" s="80"/>
      <c r="Q41" s="80"/>
      <c r="R41" s="80"/>
      <c r="S41" s="80"/>
      <c r="T41" s="80"/>
    </row>
    <row r="42" spans="1:20" s="45" customFormat="1" ht="13.5" customHeight="1">
      <c r="A42" s="96" t="s">
        <v>83</v>
      </c>
      <c r="B42" s="111">
        <f>1.95*B41</f>
        <v>7371.8774999999996</v>
      </c>
      <c r="C42" s="111">
        <f>2*C41</f>
        <v>7164.9</v>
      </c>
      <c r="D42" s="111">
        <f>2*D41</f>
        <v>6672.96</v>
      </c>
      <c r="E42" s="111">
        <f>2.25*E41</f>
        <v>7959.2624999999998</v>
      </c>
      <c r="F42" s="111">
        <f>3*F41</f>
        <v>11011.95</v>
      </c>
      <c r="G42" s="111">
        <f>3.5*G41</f>
        <v>14256.9</v>
      </c>
      <c r="H42" s="111">
        <f>3.5*H41</f>
        <v>11951.1</v>
      </c>
      <c r="I42" s="111">
        <f>4*I41</f>
        <v>14101.92</v>
      </c>
      <c r="J42" s="111">
        <f>3.75*J41</f>
        <v>11969.369999999999</v>
      </c>
      <c r="K42" s="111">
        <f>3.75*K41</f>
        <v>12264.210000000001</v>
      </c>
      <c r="L42" s="111">
        <f>3.75*L41</f>
        <v>14742</v>
      </c>
      <c r="M42" s="111">
        <f>M41*3.75</f>
        <v>14409.36</v>
      </c>
      <c r="N42" s="111">
        <f>N41*3.75</f>
        <v>13049.4375</v>
      </c>
      <c r="O42" s="97"/>
      <c r="P42" s="97"/>
      <c r="Q42" s="97"/>
      <c r="R42" s="97"/>
      <c r="S42" s="97"/>
      <c r="T42" s="97"/>
    </row>
    <row r="43" spans="1:20" s="42" customFormat="1" ht="13.5" customHeight="1">
      <c r="A43" s="41"/>
      <c r="B43" s="59"/>
      <c r="C43" s="59"/>
      <c r="D43" s="59"/>
      <c r="E43" s="59"/>
      <c r="F43" s="59"/>
      <c r="G43" s="59"/>
      <c r="H43" s="59"/>
      <c r="I43" s="59"/>
      <c r="J43" s="60"/>
      <c r="K43" s="60"/>
    </row>
    <row r="44" spans="1:20" s="31" customFormat="1" ht="13.5" customHeight="1">
      <c r="A44" s="12" t="s">
        <v>66</v>
      </c>
      <c r="B44" s="14">
        <f>'[1]2001-2011 (INPUT)'!I319</f>
        <v>19602</v>
      </c>
      <c r="C44" s="14">
        <f>'[1]2001-2011 (INPUT)'!J319</f>
        <v>21953</v>
      </c>
      <c r="D44" s="14">
        <f>'[1]2001-2011 (INPUT)'!K319</f>
        <v>22415</v>
      </c>
      <c r="E44" s="14">
        <f>'[1]2001-2011 (INPUT)'!L319</f>
        <v>21704</v>
      </c>
      <c r="F44" s="14">
        <v>25881</v>
      </c>
      <c r="G44" s="14">
        <v>24655</v>
      </c>
      <c r="H44" s="14">
        <v>25233</v>
      </c>
      <c r="I44" s="86">
        <v>30038</v>
      </c>
      <c r="J44" s="85">
        <v>30993</v>
      </c>
      <c r="K44" s="85">
        <v>32674</v>
      </c>
      <c r="L44" s="80">
        <v>39003</v>
      </c>
      <c r="M44" s="80">
        <v>37852</v>
      </c>
      <c r="N44" s="80">
        <v>37701</v>
      </c>
      <c r="O44" s="80"/>
      <c r="P44" s="80"/>
      <c r="Q44" s="80"/>
      <c r="R44" s="80"/>
      <c r="S44" s="80"/>
    </row>
    <row r="45" spans="1:20" ht="13.5" customHeight="1">
      <c r="A45" s="12" t="s">
        <v>63</v>
      </c>
      <c r="B45" s="14">
        <f>'[1]2001-2011 (INPUT)'!I321/1000</f>
        <v>2352.2399999999998</v>
      </c>
      <c r="C45" s="14">
        <f>'[1]2001-2011 (INPUT)'!J321/1000</f>
        <v>2634.36</v>
      </c>
      <c r="D45" s="14">
        <f>'[1]2001-2011 (INPUT)'!K321/1000</f>
        <v>2689.7579999999998</v>
      </c>
      <c r="E45" s="14">
        <f>'[1]2001-2011 (INPUT)'!L321/1000</f>
        <v>2604.48</v>
      </c>
      <c r="F45" s="14">
        <v>3105.72</v>
      </c>
      <c r="G45" s="14">
        <v>2958.6</v>
      </c>
      <c r="H45" s="14">
        <v>3027.9960000000001</v>
      </c>
      <c r="I45" s="86">
        <v>3604.56</v>
      </c>
      <c r="J45" s="85">
        <v>3719.1</v>
      </c>
      <c r="K45" s="85">
        <v>3920.8560000000002</v>
      </c>
      <c r="L45" s="80">
        <v>4680.3599999999997</v>
      </c>
      <c r="M45" s="80">
        <v>4542.2700000000004</v>
      </c>
      <c r="N45" s="80">
        <v>4524.12</v>
      </c>
      <c r="O45" s="80"/>
      <c r="P45" s="80"/>
      <c r="Q45" s="80"/>
      <c r="R45" s="80"/>
      <c r="S45" s="80"/>
    </row>
    <row r="46" spans="1:20" ht="13.5" customHeight="1">
      <c r="A46" s="96" t="s">
        <v>83</v>
      </c>
      <c r="B46" s="128">
        <f>B45*3.5</f>
        <v>8232.84</v>
      </c>
      <c r="C46" s="128">
        <f t="shared" ref="C46:K46" si="3">C45*3.5</f>
        <v>9220.26</v>
      </c>
      <c r="D46" s="128">
        <f t="shared" si="3"/>
        <v>9414.1529999999984</v>
      </c>
      <c r="E46" s="128">
        <f t="shared" si="3"/>
        <v>9115.68</v>
      </c>
      <c r="F46" s="128">
        <f t="shared" si="3"/>
        <v>10870.019999999999</v>
      </c>
      <c r="G46" s="128">
        <f t="shared" si="3"/>
        <v>10355.1</v>
      </c>
      <c r="H46" s="128">
        <f>H45*3.7</f>
        <v>11203.585200000001</v>
      </c>
      <c r="I46" s="128">
        <f t="shared" si="3"/>
        <v>12615.96</v>
      </c>
      <c r="J46" s="128">
        <f t="shared" si="3"/>
        <v>13016.85</v>
      </c>
      <c r="K46" s="128">
        <f t="shared" si="3"/>
        <v>13722.996000000001</v>
      </c>
      <c r="L46" s="128">
        <f t="shared" ref="L46" si="4">L45*3.5</f>
        <v>16381.259999999998</v>
      </c>
      <c r="M46" s="128">
        <f>M45*3.5</f>
        <v>15897.945000000002</v>
      </c>
      <c r="N46" s="128">
        <f>N45*3.5</f>
        <v>15834.42</v>
      </c>
      <c r="O46" s="80"/>
      <c r="P46" s="80"/>
      <c r="Q46" s="80"/>
      <c r="R46" s="80"/>
      <c r="S46" s="80"/>
    </row>
    <row r="47" spans="1:20" ht="13.5" customHeight="1">
      <c r="A47" s="12"/>
      <c r="B47" s="14"/>
      <c r="C47" s="14"/>
      <c r="D47" s="14"/>
      <c r="E47" s="14"/>
      <c r="F47" s="14"/>
      <c r="G47" s="14"/>
      <c r="H47" s="14"/>
      <c r="I47" s="14"/>
      <c r="J47" s="78"/>
      <c r="K47" s="78"/>
      <c r="L47"/>
      <c r="M47"/>
    </row>
    <row r="48" spans="1:20" ht="13.5" customHeight="1">
      <c r="A48" s="12" t="s">
        <v>64</v>
      </c>
      <c r="B48" s="14">
        <f>'[1]2001-2011 (INPUT)'!I330/1000</f>
        <v>8329.0110000000004</v>
      </c>
      <c r="C48" s="14">
        <f>'[1]2001-2011 (INPUT)'!J330/1000</f>
        <v>8428.6110000000008</v>
      </c>
      <c r="D48" s="14">
        <f>'[1]2001-2011 (INPUT)'!K330/1000</f>
        <v>8589.5519999999997</v>
      </c>
      <c r="E48" s="14">
        <f>'[1]2001-2011 (INPUT)'!L330/1000</f>
        <v>8816.6229999999996</v>
      </c>
      <c r="F48" s="14">
        <v>8964.84</v>
      </c>
      <c r="G48" s="14">
        <v>9954</v>
      </c>
      <c r="H48" s="14">
        <v>10690</v>
      </c>
      <c r="I48" s="14">
        <v>11212</v>
      </c>
      <c r="J48" s="84">
        <v>11669.21</v>
      </c>
      <c r="K48" s="84">
        <v>11869.579</v>
      </c>
      <c r="L48" s="14">
        <v>11670.302</v>
      </c>
      <c r="M48" s="14">
        <v>12018.991</v>
      </c>
      <c r="N48" s="14">
        <v>10720.882</v>
      </c>
    </row>
    <row r="49" spans="1:14" ht="13.5" customHeight="1">
      <c r="A49" s="12" t="s">
        <v>65</v>
      </c>
      <c r="B49" s="14">
        <f>'[1]2001-2011 (INPUT)'!I332/1000</f>
        <v>27767.401999999998</v>
      </c>
      <c r="C49" s="14">
        <f>'[1]2001-2011 (INPUT)'!J332/1000</f>
        <v>28577.081999999999</v>
      </c>
      <c r="D49" s="14">
        <f>'[1]2001-2011 (INPUT)'!K332/1000</f>
        <v>30112.763999999999</v>
      </c>
      <c r="E49" s="14">
        <f>'[1]2001-2011 (INPUT)'!L332/1000</f>
        <v>30578.971000000001</v>
      </c>
      <c r="F49" s="14">
        <v>31549.690999999999</v>
      </c>
      <c r="G49" s="14">
        <v>35312</v>
      </c>
      <c r="H49" s="14">
        <v>38578.868000000002</v>
      </c>
      <c r="I49" s="14">
        <v>40773.786599999999</v>
      </c>
      <c r="J49" s="84">
        <v>41719.106</v>
      </c>
      <c r="K49" s="84">
        <v>43310.911999999997</v>
      </c>
      <c r="L49" s="80">
        <v>43380.811000000002</v>
      </c>
      <c r="M49" s="80">
        <v>44903.26</v>
      </c>
      <c r="N49" s="80">
        <v>40339.069000000003</v>
      </c>
    </row>
    <row r="50" spans="1:14" s="40" customFormat="1" ht="11.25" customHeight="1">
      <c r="A50" s="39" t="s">
        <v>88</v>
      </c>
      <c r="B50" s="118">
        <f>2.41*B49</f>
        <v>66919.438819999996</v>
      </c>
      <c r="C50" s="118">
        <f>2.2*C49</f>
        <v>62869.580399999999</v>
      </c>
      <c r="D50" s="118">
        <f>2.25*D49</f>
        <v>67753.718999999997</v>
      </c>
      <c r="E50" s="118">
        <f>2.3*E49</f>
        <v>70331.633300000001</v>
      </c>
      <c r="F50" s="118">
        <f>2.45*F49</f>
        <v>77296.74295</v>
      </c>
      <c r="G50" s="118">
        <f>2.65*G49</f>
        <v>93576.8</v>
      </c>
      <c r="H50" s="118">
        <f>2.41*H49</f>
        <v>92975.071880000018</v>
      </c>
      <c r="I50" s="119">
        <f>2.48*I49</f>
        <v>101118.990768</v>
      </c>
      <c r="J50" s="120">
        <f>2.4*J49</f>
        <v>100125.8544</v>
      </c>
      <c r="K50" s="120">
        <f>2.36*K49</f>
        <v>102213.75231999999</v>
      </c>
      <c r="L50" s="120">
        <f>2.36*L49</f>
        <v>102378.71395999999</v>
      </c>
      <c r="M50" s="120">
        <f>M49*2.32</f>
        <v>104175.5632</v>
      </c>
      <c r="N50" s="120">
        <f>N49*2.36</f>
        <v>95200.202839999998</v>
      </c>
    </row>
    <row r="51" spans="1:14" ht="13.5" customHeight="1">
      <c r="A51" s="12"/>
      <c r="I51" s="46"/>
      <c r="J51" s="84"/>
      <c r="K51" s="84"/>
      <c r="L51"/>
      <c r="M51"/>
    </row>
    <row r="52" spans="1:14" ht="13.5" customHeight="1">
      <c r="A52" s="12" t="s">
        <v>43</v>
      </c>
      <c r="B52" s="14">
        <f>'[1]2001-2011 (INPUT)'!I311/1000</f>
        <v>6437.5929999999998</v>
      </c>
      <c r="C52" s="14">
        <f>'[1]2001-2011 (INPUT)'!J311/1000</f>
        <v>8276.8590000000004</v>
      </c>
      <c r="D52" s="14">
        <f>'[1]2001-2011 (INPUT)'!K311/1000</f>
        <v>7330.6790000000001</v>
      </c>
      <c r="E52" s="14">
        <f>'[1]2001-2011 (INPUT)'!L311/1000</f>
        <v>8697.6229999999996</v>
      </c>
      <c r="F52" s="14">
        <v>11872.766</v>
      </c>
      <c r="G52" s="14">
        <v>11027.564249999999</v>
      </c>
      <c r="H52" s="86">
        <v>9578.0509999999995</v>
      </c>
      <c r="I52" s="86">
        <v>10035.156999999999</v>
      </c>
      <c r="J52" s="121">
        <v>9631.1749999999993</v>
      </c>
      <c r="K52" s="121">
        <v>10548.453</v>
      </c>
      <c r="L52">
        <v>11008.87</v>
      </c>
      <c r="M52">
        <v>10091.341</v>
      </c>
      <c r="N52">
        <v>9968.223</v>
      </c>
    </row>
    <row r="53" spans="1:14" ht="13.5" customHeight="1">
      <c r="A53" s="12" t="s">
        <v>44</v>
      </c>
      <c r="B53" s="14">
        <f>'[1]2001-2011 (INPUT)'!I314/1000</f>
        <v>63.314999999999998</v>
      </c>
      <c r="C53" s="14">
        <f>'[1]2001-2011 (INPUT)'!J314/1000</f>
        <v>130.345</v>
      </c>
      <c r="D53" s="14">
        <f>'[1]2001-2011 (INPUT)'!K314/1000</f>
        <v>89.203000000000003</v>
      </c>
      <c r="E53" s="14">
        <f>'[1]2001-2011 (INPUT)'!L314/1000</f>
        <v>130.495</v>
      </c>
      <c r="F53" s="14">
        <v>102.83499999999999</v>
      </c>
      <c r="G53" s="14">
        <v>100.1</v>
      </c>
      <c r="H53" s="86">
        <v>64.38</v>
      </c>
      <c r="I53" s="86">
        <v>97.930999999999997</v>
      </c>
      <c r="J53" s="121">
        <v>73.16</v>
      </c>
      <c r="K53" s="121">
        <v>83.106999999999999</v>
      </c>
      <c r="L53">
        <v>120.108</v>
      </c>
      <c r="M53">
        <v>113</v>
      </c>
      <c r="N53">
        <v>100.15900000000001</v>
      </c>
    </row>
    <row r="54" spans="1:14" ht="13.5" customHeight="1">
      <c r="A54" s="12" t="s">
        <v>45</v>
      </c>
      <c r="B54" s="14">
        <f>'[1]2001-2011 (INPUT)'!I335/1000</f>
        <v>3373.8850000000002</v>
      </c>
      <c r="C54" s="14">
        <f>'[1]2001-2011 (INPUT)'!J335/1000</f>
        <v>3427.44</v>
      </c>
      <c r="D54" s="14">
        <f>'[1]2001-2011 (INPUT)'!K335/1000</f>
        <v>4033.692</v>
      </c>
      <c r="E54" s="14">
        <f>'[1]2001-2011 (INPUT)'!L335/1000</f>
        <v>3533.962</v>
      </c>
      <c r="F54" s="14">
        <v>2742.9490000000001</v>
      </c>
      <c r="G54" s="14">
        <v>3573.489</v>
      </c>
      <c r="H54" s="86">
        <v>4089.2869999999998</v>
      </c>
      <c r="I54" s="86">
        <v>4229.7820000000002</v>
      </c>
      <c r="J54" s="121">
        <v>5778.7049999999999</v>
      </c>
      <c r="K54" s="121">
        <v>4806.2809999999999</v>
      </c>
      <c r="L54">
        <v>5105.05</v>
      </c>
      <c r="M54">
        <v>5006.1779999999999</v>
      </c>
      <c r="N54">
        <v>4942.0889999999999</v>
      </c>
    </row>
    <row r="55" spans="1:14" ht="12.75">
      <c r="A55" s="1"/>
      <c r="J55" s="78"/>
      <c r="K55" s="78"/>
      <c r="L55"/>
      <c r="M55"/>
    </row>
    <row r="56" spans="1:14" ht="12.75">
      <c r="A56" s="1"/>
      <c r="J56" s="78"/>
      <c r="K56" s="78"/>
      <c r="L56"/>
      <c r="M56"/>
    </row>
    <row r="57" spans="1:14" ht="12.75">
      <c r="A57" s="12" t="s">
        <v>43</v>
      </c>
      <c r="B57" s="14">
        <v>6437.5929999999998</v>
      </c>
      <c r="C57" s="136">
        <v>8276.8590000000004</v>
      </c>
      <c r="D57" s="14">
        <v>7330.6790000000001</v>
      </c>
      <c r="E57" s="14">
        <v>8697.6229999999996</v>
      </c>
      <c r="F57" s="14">
        <v>11872.766</v>
      </c>
      <c r="G57" s="14">
        <v>11027.564249999999</v>
      </c>
      <c r="H57" s="14">
        <v>9578.0509999999995</v>
      </c>
      <c r="I57" s="14">
        <v>10035.156999999999</v>
      </c>
      <c r="J57" s="137">
        <v>9631.1749999999993</v>
      </c>
      <c r="K57" s="137">
        <v>10548.453</v>
      </c>
      <c r="L57" s="14">
        <v>11008.87</v>
      </c>
      <c r="M57" s="14">
        <v>10091.341</v>
      </c>
      <c r="N57" s="14">
        <v>9968.223</v>
      </c>
    </row>
    <row r="58" spans="1:14" ht="12.75">
      <c r="A58" s="39" t="s">
        <v>88</v>
      </c>
      <c r="B58" s="128">
        <v>3154.42</v>
      </c>
      <c r="C58" s="138">
        <v>4138.4295000000002</v>
      </c>
      <c r="D58" s="128">
        <v>3665.3395</v>
      </c>
      <c r="E58" s="128">
        <v>4348.8109999999997</v>
      </c>
      <c r="F58" s="128">
        <f>F57*0.51</f>
        <v>6055.1106600000003</v>
      </c>
      <c r="G58" s="128">
        <f>G57*0.51</f>
        <v>5624.0577674999995</v>
      </c>
      <c r="H58" s="128">
        <v>5449.1388200000001</v>
      </c>
      <c r="I58" s="128">
        <f>I57*0.57</f>
        <v>5720.0394899999992</v>
      </c>
      <c r="J58" s="139">
        <f>J57*0.56</f>
        <v>5393.4580000000005</v>
      </c>
      <c r="K58" s="139">
        <f>K57*0.56</f>
        <v>5907.1336799999999</v>
      </c>
      <c r="L58" s="126">
        <f>L57*0.49</f>
        <v>5394.3463000000002</v>
      </c>
      <c r="M58" s="126">
        <f>M57*0.51</f>
        <v>5146.5839100000003</v>
      </c>
      <c r="N58" s="126">
        <f>N57*0.51</f>
        <v>5083.7937300000003</v>
      </c>
    </row>
    <row r="59" spans="1:14" ht="12.75">
      <c r="A59" s="12"/>
      <c r="B59" s="14"/>
      <c r="C59" s="136"/>
      <c r="D59" s="14"/>
      <c r="E59" s="14"/>
      <c r="F59" s="14"/>
      <c r="G59" s="14"/>
      <c r="H59" s="14"/>
      <c r="I59" s="14"/>
      <c r="J59" s="140"/>
      <c r="K59" s="140"/>
      <c r="L59"/>
      <c r="M59"/>
    </row>
    <row r="60" spans="1:14" ht="12.75">
      <c r="A60" s="12" t="s">
        <v>44</v>
      </c>
      <c r="B60" s="14">
        <v>63.314999999999998</v>
      </c>
      <c r="C60" s="136">
        <v>130.345</v>
      </c>
      <c r="D60" s="14">
        <v>89.203000000000003</v>
      </c>
      <c r="E60" s="14">
        <v>130.495</v>
      </c>
      <c r="F60" s="14">
        <v>102.83499999999999</v>
      </c>
      <c r="G60" s="14">
        <v>100.1</v>
      </c>
      <c r="H60" s="14">
        <v>64.38</v>
      </c>
      <c r="I60" s="14">
        <v>97.930999999999997</v>
      </c>
      <c r="J60" s="140">
        <v>73</v>
      </c>
      <c r="K60" s="140">
        <v>83</v>
      </c>
      <c r="L60" s="14">
        <v>120.108</v>
      </c>
      <c r="M60" s="14">
        <v>113</v>
      </c>
      <c r="N60" s="14">
        <v>100.15900000000001</v>
      </c>
    </row>
    <row r="61" spans="1:14" ht="12.75">
      <c r="A61" s="39" t="s">
        <v>88</v>
      </c>
      <c r="B61" s="128">
        <v>205.774</v>
      </c>
      <c r="C61" s="138">
        <v>423.62124999999997</v>
      </c>
      <c r="D61" s="128">
        <v>312.21050000000002</v>
      </c>
      <c r="E61" s="128">
        <v>456.73250000000002</v>
      </c>
      <c r="F61" s="128">
        <f>F60*3.5</f>
        <v>359.92249999999996</v>
      </c>
      <c r="G61" s="128">
        <f>G60*3.5</f>
        <v>350.34999999999997</v>
      </c>
      <c r="H61" s="128">
        <f>H60*3.5</f>
        <v>225.32999999999998</v>
      </c>
      <c r="I61" s="128">
        <f>I60*3.75</f>
        <v>367.24124999999998</v>
      </c>
      <c r="J61" s="139">
        <f>J60*4.17</f>
        <v>304.40999999999997</v>
      </c>
      <c r="K61" s="139">
        <f>K60*3.5</f>
        <v>290.5</v>
      </c>
      <c r="L61" s="139">
        <f>L60*3.5</f>
        <v>420.37800000000004</v>
      </c>
      <c r="M61" s="139">
        <f>M60*3.5</f>
        <v>395.5</v>
      </c>
      <c r="N61" s="139">
        <f>N60*3.5</f>
        <v>350.55650000000003</v>
      </c>
    </row>
    <row r="62" spans="1:14" ht="12.75">
      <c r="A62" s="12"/>
      <c r="B62" s="14"/>
      <c r="C62" s="136"/>
      <c r="D62" s="14"/>
      <c r="E62" s="14"/>
      <c r="F62" s="14"/>
      <c r="G62" s="14"/>
      <c r="H62" s="14"/>
      <c r="I62" s="14"/>
      <c r="J62" s="140"/>
      <c r="K62" s="140"/>
      <c r="L62"/>
      <c r="M62"/>
    </row>
    <row r="63" spans="1:14" ht="12.75">
      <c r="A63" s="12" t="s">
        <v>45</v>
      </c>
      <c r="B63" s="14">
        <v>3373.8850000000002</v>
      </c>
      <c r="C63" s="136">
        <v>3427.44</v>
      </c>
      <c r="D63" s="14">
        <v>4033.692</v>
      </c>
      <c r="E63" s="14">
        <v>3533.962</v>
      </c>
      <c r="F63" s="14">
        <v>2742.9490000000001</v>
      </c>
      <c r="G63" s="14">
        <v>3573.489</v>
      </c>
      <c r="H63" s="14">
        <v>4089.2869999999998</v>
      </c>
      <c r="I63" s="14">
        <v>4229.7820000000002</v>
      </c>
      <c r="J63" s="137">
        <v>5779</v>
      </c>
      <c r="K63" s="137">
        <v>4806</v>
      </c>
      <c r="L63" s="14">
        <v>5105.05</v>
      </c>
      <c r="M63" s="14">
        <v>5006.1779999999999</v>
      </c>
      <c r="N63" s="14">
        <v>4942.0889999999999</v>
      </c>
    </row>
    <row r="64" spans="1:14" ht="12.75">
      <c r="A64" s="39" t="s">
        <v>88</v>
      </c>
      <c r="B64" s="141">
        <v>9008.2729500000005</v>
      </c>
      <c r="C64" s="141">
        <v>9425.4599999999991</v>
      </c>
      <c r="D64" s="141">
        <v>12101.075999999999</v>
      </c>
      <c r="E64" s="141">
        <v>10601.886</v>
      </c>
      <c r="F64" s="87">
        <f>F63*3</f>
        <v>8228.8469999999998</v>
      </c>
      <c r="G64" s="87">
        <f>G63*3.25</f>
        <v>11613.839250000001</v>
      </c>
      <c r="H64" s="141">
        <f>H63*3.25</f>
        <v>13290.18275</v>
      </c>
      <c r="I64" s="141">
        <f>I63*3</f>
        <v>12689.346000000001</v>
      </c>
      <c r="J64" s="142">
        <f>J63*3</f>
        <v>17337</v>
      </c>
      <c r="K64" s="142">
        <f>K63*3</f>
        <v>14418</v>
      </c>
      <c r="L64" s="142">
        <f>L63*3</f>
        <v>15315.150000000001</v>
      </c>
      <c r="M64" s="142">
        <f>M63*2.5</f>
        <v>12515.445</v>
      </c>
      <c r="N64" s="142">
        <f>N63*2.5</f>
        <v>12355.2225</v>
      </c>
    </row>
    <row r="65" spans="1:14" ht="12.75">
      <c r="A65" s="1"/>
      <c r="J65" s="140"/>
      <c r="K65" s="140"/>
      <c r="L65"/>
      <c r="M65"/>
    </row>
    <row r="66" spans="1:14" ht="12.75">
      <c r="A66" s="13" t="s">
        <v>110</v>
      </c>
      <c r="J66" s="140"/>
      <c r="K66" s="140"/>
      <c r="L66"/>
      <c r="M66"/>
    </row>
    <row r="67" spans="1:14">
      <c r="A67" s="133" t="s">
        <v>111</v>
      </c>
      <c r="J67" s="140"/>
      <c r="K67" s="140"/>
      <c r="L67"/>
      <c r="M67"/>
    </row>
    <row r="68" spans="1:14" ht="12.75">
      <c r="A68" s="134" t="s">
        <v>112</v>
      </c>
      <c r="B68" s="143">
        <v>12875.771000000001</v>
      </c>
      <c r="C68" s="143">
        <v>14218.324000000001</v>
      </c>
      <c r="D68" s="143">
        <v>14671.772999999999</v>
      </c>
      <c r="E68" s="143">
        <v>11104.254000000001</v>
      </c>
      <c r="F68" s="143">
        <v>12798.433000000001</v>
      </c>
      <c r="G68" s="143">
        <v>15479.587</v>
      </c>
      <c r="H68" s="143">
        <v>15874.224</v>
      </c>
      <c r="I68" s="143">
        <v>9327.6820000000007</v>
      </c>
      <c r="J68" s="137">
        <v>2402.7460000000001</v>
      </c>
      <c r="K68" s="137">
        <v>1333.029</v>
      </c>
      <c r="L68"/>
      <c r="M68"/>
    </row>
    <row r="69" spans="1:14" ht="12.75">
      <c r="A69" s="134" t="s">
        <v>113</v>
      </c>
      <c r="B69" s="143">
        <v>10450.308999999999</v>
      </c>
      <c r="C69" s="143">
        <v>12454.043</v>
      </c>
      <c r="D69" s="143">
        <v>12478.49</v>
      </c>
      <c r="E69" s="143">
        <v>10575.428</v>
      </c>
      <c r="F69" s="143">
        <v>10938.368</v>
      </c>
      <c r="G69" s="143">
        <v>14597.763999999999</v>
      </c>
      <c r="H69" s="143">
        <v>14319.949000000001</v>
      </c>
      <c r="I69" s="143">
        <v>9283.8119999999999</v>
      </c>
      <c r="J69" s="137">
        <v>1460.8330000000001</v>
      </c>
      <c r="K69" s="137">
        <v>1160.68</v>
      </c>
      <c r="L69">
        <v>1191.29</v>
      </c>
      <c r="M69">
        <v>1023.758</v>
      </c>
      <c r="N69">
        <v>660.28499999999997</v>
      </c>
    </row>
    <row r="70" spans="1:14" ht="12.75">
      <c r="A70" s="134" t="s">
        <v>114</v>
      </c>
      <c r="B70" s="141">
        <v>42012.065999999999</v>
      </c>
      <c r="C70" s="141">
        <v>41636.228999999999</v>
      </c>
      <c r="D70" s="141">
        <v>43975.796000000002</v>
      </c>
      <c r="E70" s="141">
        <v>33949.154000000002</v>
      </c>
      <c r="F70" s="141">
        <v>42946.686999999998</v>
      </c>
      <c r="G70" s="141">
        <v>84069.898000000001</v>
      </c>
      <c r="H70" s="141">
        <v>87490.576000000001</v>
      </c>
      <c r="I70" s="141">
        <v>59672.633999999998</v>
      </c>
      <c r="J70" s="144">
        <v>12682.621999999999</v>
      </c>
      <c r="K70" s="144">
        <v>9137.64</v>
      </c>
      <c r="L70">
        <v>5371.71</v>
      </c>
      <c r="M70">
        <v>6143.9038200000005</v>
      </c>
      <c r="N70">
        <v>3651.9540000000002</v>
      </c>
    </row>
    <row r="71" spans="1:14" ht="12.75">
      <c r="A71" s="1"/>
      <c r="J71" s="140"/>
      <c r="K71" s="140"/>
      <c r="L71"/>
      <c r="M71"/>
    </row>
    <row r="72" spans="1:14">
      <c r="A72" s="133" t="s">
        <v>115</v>
      </c>
      <c r="J72" s="140"/>
      <c r="K72" s="140"/>
      <c r="L72"/>
      <c r="M72"/>
    </row>
    <row r="73" spans="1:14" ht="12.75">
      <c r="A73" s="134" t="s">
        <v>113</v>
      </c>
      <c r="B73" s="143">
        <v>5026.7</v>
      </c>
      <c r="C73" s="143">
        <v>7972.9279100000003</v>
      </c>
      <c r="D73" s="143">
        <v>10505.51477</v>
      </c>
      <c r="E73" s="143">
        <v>10071.64956</v>
      </c>
      <c r="F73" s="143">
        <v>10250.768239999999</v>
      </c>
      <c r="G73" s="143">
        <v>13691.244650000001</v>
      </c>
      <c r="H73" s="143">
        <v>14306.888000000001</v>
      </c>
      <c r="I73" s="143">
        <v>9283.8119999999999</v>
      </c>
      <c r="J73" s="137">
        <v>1412.24</v>
      </c>
      <c r="K73" s="137">
        <v>1160.68</v>
      </c>
      <c r="L73">
        <v>1191.29</v>
      </c>
      <c r="M73">
        <v>1023.758</v>
      </c>
      <c r="N73">
        <v>660.28499999999997</v>
      </c>
    </row>
    <row r="74" spans="1:14" ht="12.75">
      <c r="A74" s="134" t="s">
        <v>114</v>
      </c>
      <c r="B74" s="141">
        <v>18510.327000000001</v>
      </c>
      <c r="C74" s="141">
        <v>23990.268189999999</v>
      </c>
      <c r="D74" s="141">
        <v>29731.81337</v>
      </c>
      <c r="E74" s="141">
        <v>20994.222300000001</v>
      </c>
      <c r="F74" s="141">
        <v>28409.52259</v>
      </c>
      <c r="G74" s="141">
        <v>51564.251680000001</v>
      </c>
      <c r="H74" s="141">
        <v>86179.048999999999</v>
      </c>
      <c r="I74" s="141">
        <v>59672.633999999998</v>
      </c>
      <c r="J74" s="144">
        <v>12027.93</v>
      </c>
      <c r="K74" s="144">
        <v>9137.64</v>
      </c>
      <c r="L74">
        <v>5371.71</v>
      </c>
      <c r="M74">
        <v>6143.9038200000005</v>
      </c>
      <c r="N74">
        <v>3651.9540000000002</v>
      </c>
    </row>
    <row r="75" spans="1:14" ht="12.75">
      <c r="A75" s="1"/>
      <c r="J75" s="145"/>
      <c r="K75" s="145"/>
      <c r="L75" s="145"/>
      <c r="M75" s="145"/>
    </row>
    <row r="76" spans="1:14" ht="12.75">
      <c r="A76" s="135" t="s">
        <v>116</v>
      </c>
      <c r="D76" s="146"/>
      <c r="J76" s="145"/>
      <c r="K76" s="145"/>
      <c r="L76" s="145"/>
      <c r="M76" s="145"/>
    </row>
    <row r="77" spans="1:14" ht="12.75">
      <c r="A77" s="134" t="s">
        <v>113</v>
      </c>
      <c r="B77" s="67">
        <v>10467.5</v>
      </c>
      <c r="C77" s="67">
        <v>12464.3</v>
      </c>
      <c r="D77" s="67">
        <v>12478.5</v>
      </c>
      <c r="E77" s="67">
        <v>10575.4</v>
      </c>
      <c r="F77" s="67">
        <v>10938.9</v>
      </c>
      <c r="G77" s="67">
        <v>14597.8</v>
      </c>
      <c r="H77" s="67">
        <v>14319.9</v>
      </c>
      <c r="I77" s="67">
        <v>8099.7</v>
      </c>
      <c r="J77" s="145" t="s">
        <v>117</v>
      </c>
      <c r="K77" s="145" t="s">
        <v>117</v>
      </c>
      <c r="L77" s="145" t="s">
        <v>117</v>
      </c>
      <c r="M77" s="145" t="s">
        <v>117</v>
      </c>
      <c r="N77" s="145" t="s">
        <v>117</v>
      </c>
    </row>
    <row r="78" spans="1:14" ht="15">
      <c r="A78" s="134" t="s">
        <v>114</v>
      </c>
      <c r="B78" s="147">
        <v>43790</v>
      </c>
      <c r="C78" s="147">
        <v>41664</v>
      </c>
      <c r="D78" s="147">
        <v>43976</v>
      </c>
      <c r="E78" s="147">
        <v>33949.199999999997</v>
      </c>
      <c r="F78" s="147">
        <v>42507.8</v>
      </c>
      <c r="G78" s="147">
        <v>84069.9</v>
      </c>
      <c r="H78" s="148">
        <v>88090.5</v>
      </c>
      <c r="I78" s="148">
        <v>51585.599999999999</v>
      </c>
      <c r="J78" s="145" t="s">
        <v>117</v>
      </c>
      <c r="K78" s="145" t="s">
        <v>117</v>
      </c>
      <c r="L78" s="145" t="s">
        <v>117</v>
      </c>
      <c r="M78" s="145" t="s">
        <v>117</v>
      </c>
      <c r="N78" s="145" t="s">
        <v>117</v>
      </c>
    </row>
    <row r="79" spans="1:14" ht="12.75">
      <c r="A79" s="1"/>
      <c r="J79" s="78"/>
      <c r="K79" s="78"/>
      <c r="L79" s="78"/>
      <c r="M79" s="78"/>
    </row>
    <row r="80" spans="1:14" ht="12.75">
      <c r="A80" s="1"/>
      <c r="J80" s="78"/>
      <c r="K80" s="78"/>
      <c r="L80" s="78"/>
      <c r="M80" s="78"/>
    </row>
    <row r="81" spans="1:13" ht="12.75">
      <c r="A81" s="1"/>
      <c r="J81" s="78"/>
      <c r="K81" s="78"/>
      <c r="L81" s="78"/>
      <c r="M81" s="78"/>
    </row>
    <row r="82" spans="1:13" ht="12.75">
      <c r="A82" s="1"/>
      <c r="J82" s="78"/>
      <c r="K82" s="78"/>
      <c r="L82" s="78"/>
      <c r="M82" s="78"/>
    </row>
    <row r="83" spans="1:13" ht="12.75">
      <c r="A83" s="1"/>
      <c r="J83" s="78"/>
      <c r="K83" s="78"/>
      <c r="L83" s="78"/>
      <c r="M83" s="78"/>
    </row>
    <row r="84" spans="1:13" ht="12.75">
      <c r="A84" s="1"/>
      <c r="J84" s="78"/>
      <c r="K84" s="78"/>
      <c r="L84" s="78"/>
      <c r="M84" s="78"/>
    </row>
    <row r="85" spans="1:13" ht="12.75">
      <c r="A85" s="1"/>
      <c r="J85" s="78"/>
      <c r="K85" s="78"/>
      <c r="L85" s="78"/>
      <c r="M85" s="78"/>
    </row>
    <row r="86" spans="1:13" ht="12.75">
      <c r="A86" s="1"/>
      <c r="J86" s="78"/>
      <c r="K86" s="78"/>
      <c r="L86" s="78"/>
      <c r="M86" s="78"/>
    </row>
    <row r="87" spans="1:13" ht="12.75">
      <c r="A87" s="1"/>
      <c r="J87" s="78"/>
      <c r="K87" s="78"/>
      <c r="L87" s="78"/>
      <c r="M87" s="78"/>
    </row>
    <row r="88" spans="1:13" ht="12.75">
      <c r="A88" s="1"/>
      <c r="J88" s="78"/>
      <c r="K88" s="78"/>
      <c r="L88" s="78"/>
      <c r="M88" s="78"/>
    </row>
    <row r="89" spans="1:13" ht="15" customHeight="1">
      <c r="A89" s="1" t="s">
        <v>53</v>
      </c>
      <c r="J89" s="78"/>
      <c r="K89" s="78"/>
      <c r="L89" s="78"/>
      <c r="M89" s="78"/>
    </row>
    <row r="90" spans="1:13" ht="17.25" customHeight="1">
      <c r="A90" s="1" t="s">
        <v>49</v>
      </c>
      <c r="J90" s="78"/>
      <c r="K90" s="78"/>
      <c r="L90" s="78"/>
      <c r="M90" s="78"/>
    </row>
    <row r="91" spans="1:13" ht="15" customHeight="1">
      <c r="A91" s="1" t="s">
        <v>48</v>
      </c>
      <c r="J91" s="78"/>
      <c r="K91" s="78"/>
      <c r="L91" s="78"/>
      <c r="M91" s="78"/>
    </row>
    <row r="92" spans="1:13" ht="15.75" customHeight="1">
      <c r="A92" s="1" t="s">
        <v>74</v>
      </c>
      <c r="J92" s="78"/>
      <c r="K92" s="78"/>
      <c r="L92" s="78"/>
      <c r="M92" s="78"/>
    </row>
    <row r="93" spans="1:13" ht="12.75">
      <c r="A93" s="1" t="s">
        <v>71</v>
      </c>
      <c r="J93" s="78"/>
      <c r="K93" s="78"/>
      <c r="L93" s="78"/>
      <c r="M93" s="78"/>
    </row>
    <row r="94" spans="1:13" ht="12.75">
      <c r="A94" s="1" t="s">
        <v>72</v>
      </c>
      <c r="J94" s="78"/>
      <c r="K94" s="78"/>
      <c r="L94" s="78"/>
      <c r="M94" s="78"/>
    </row>
    <row r="95" spans="1:13" ht="12.75">
      <c r="A95" s="1"/>
      <c r="J95" s="78"/>
      <c r="K95" s="78"/>
      <c r="L95" s="78"/>
      <c r="M95" s="78"/>
    </row>
    <row r="96" spans="1:13" ht="12.75">
      <c r="A96" s="1"/>
      <c r="J96" s="78"/>
      <c r="K96" s="78"/>
      <c r="L96" s="78"/>
      <c r="M96" s="78"/>
    </row>
    <row r="97" spans="1:13" ht="12.75">
      <c r="A97" s="1"/>
      <c r="J97" s="78"/>
      <c r="K97" s="78"/>
      <c r="L97" s="78"/>
      <c r="M97" s="78"/>
    </row>
    <row r="98" spans="1:13" ht="12.75">
      <c r="A98" s="1"/>
      <c r="J98" s="78"/>
      <c r="K98" s="78"/>
      <c r="L98" s="78"/>
      <c r="M98" s="78"/>
    </row>
    <row r="99" spans="1:13" ht="12.75">
      <c r="A99" s="1"/>
      <c r="J99" s="78"/>
      <c r="K99" s="78"/>
      <c r="L99" s="78"/>
      <c r="M99" s="78"/>
    </row>
    <row r="100" spans="1:13" ht="12.75">
      <c r="A100" s="1"/>
      <c r="J100" s="78"/>
      <c r="K100" s="78"/>
      <c r="L100" s="78"/>
      <c r="M100" s="78"/>
    </row>
    <row r="101" spans="1:13" ht="12.75">
      <c r="A101" s="1"/>
      <c r="J101" s="78"/>
      <c r="K101" s="78"/>
      <c r="L101" s="78"/>
      <c r="M101" s="78"/>
    </row>
    <row r="102" spans="1:13" ht="12.75">
      <c r="A102" s="1"/>
      <c r="J102" s="78"/>
      <c r="K102" s="78"/>
      <c r="L102" s="78"/>
      <c r="M102" s="78"/>
    </row>
    <row r="103" spans="1:13" ht="12.75">
      <c r="A103" s="1"/>
      <c r="J103" s="78"/>
      <c r="K103" s="78"/>
      <c r="L103" s="78"/>
      <c r="M103" s="78"/>
    </row>
    <row r="104" spans="1:13" ht="12.75">
      <c r="A104" s="1"/>
      <c r="J104" s="78"/>
      <c r="K104" s="78"/>
      <c r="L104" s="78"/>
      <c r="M104" s="78"/>
    </row>
    <row r="105" spans="1:13" ht="12.75">
      <c r="A105" s="1"/>
      <c r="J105" s="78"/>
      <c r="K105" s="78"/>
      <c r="L105" s="78"/>
      <c r="M105" s="78"/>
    </row>
    <row r="106" spans="1:13" ht="12.75">
      <c r="A106" s="1"/>
      <c r="J106" s="78"/>
      <c r="K106" s="78"/>
      <c r="L106" s="78"/>
      <c r="M106" s="78"/>
    </row>
    <row r="107" spans="1:13" ht="12.75">
      <c r="A107" s="1"/>
      <c r="J107" s="78"/>
      <c r="K107" s="78"/>
      <c r="L107" s="78"/>
      <c r="M107" s="78"/>
    </row>
    <row r="108" spans="1:13" ht="12.75">
      <c r="A108" s="1"/>
      <c r="J108" s="78"/>
      <c r="K108" s="78"/>
      <c r="L108" s="78"/>
      <c r="M108" s="78"/>
    </row>
    <row r="109" spans="1:13" ht="12.75">
      <c r="A109" s="1"/>
      <c r="J109" s="78"/>
      <c r="K109" s="78"/>
      <c r="L109" s="78"/>
      <c r="M109" s="78"/>
    </row>
    <row r="110" spans="1:13" ht="12.75">
      <c r="A110" s="1"/>
      <c r="J110" s="78"/>
      <c r="K110" s="78"/>
      <c r="L110" s="78"/>
      <c r="M110" s="78"/>
    </row>
    <row r="111" spans="1:13" ht="12.75">
      <c r="A111" s="1"/>
    </row>
    <row r="112" spans="1:13" ht="12.75">
      <c r="A112" s="1"/>
    </row>
    <row r="113" spans="1:1" ht="12.75">
      <c r="A113" s="1"/>
    </row>
    <row r="114" spans="1:1" ht="12.75">
      <c r="A114" s="1"/>
    </row>
    <row r="115" spans="1:1" ht="12.75">
      <c r="A115" s="1"/>
    </row>
    <row r="116" spans="1:1" ht="12.75">
      <c r="A116" s="1"/>
    </row>
    <row r="117" spans="1:1" ht="12.75">
      <c r="A117" s="1"/>
    </row>
    <row r="118" spans="1:1" ht="12.75">
      <c r="A118" s="1"/>
    </row>
    <row r="119" spans="1:1" ht="12.75">
      <c r="A119" s="1"/>
    </row>
  </sheetData>
  <printOptions horizontalCentered="1"/>
  <pageMargins left="0" right="0" top="0.5" bottom="0.5" header="0.5" footer="0.25"/>
  <pageSetup scale="85" firstPageNumber="3" orientation="landscape" useFirstPageNumber="1" r:id="rId1"/>
  <headerFooter>
    <oddHeader>&amp;C&amp;"CG Times (PCL6),Bold"&amp;12</oddHeader>
    <oddFooter>&amp;C&amp;"Arial,Regular"&amp;P</oddFooter>
  </headerFooter>
  <ignoredErrors>
    <ignoredError sqref="B4:D4 F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B28" sqref="B28"/>
    </sheetView>
  </sheetViews>
  <sheetFormatPr defaultRowHeight="12"/>
  <cols>
    <col min="1" max="1" width="42.875" bestFit="1" customWidth="1"/>
    <col min="2" max="2" width="13.875" style="33" bestFit="1" customWidth="1"/>
    <col min="3" max="3" width="10.875" customWidth="1"/>
  </cols>
  <sheetData>
    <row r="1" spans="1:5" ht="15">
      <c r="A1" s="34" t="s">
        <v>69</v>
      </c>
      <c r="B1" s="124">
        <v>2017</v>
      </c>
      <c r="C1" s="124">
        <v>2018</v>
      </c>
      <c r="D1" s="124">
        <v>2019</v>
      </c>
      <c r="E1" s="124">
        <v>2020</v>
      </c>
    </row>
    <row r="2" spans="1:5">
      <c r="A2" s="36" t="s">
        <v>108</v>
      </c>
      <c r="B2" s="35"/>
      <c r="C2" s="125"/>
      <c r="D2" s="125"/>
      <c r="E2" s="125"/>
    </row>
    <row r="3" spans="1:5">
      <c r="A3" s="36" t="s">
        <v>119</v>
      </c>
      <c r="B3" s="132">
        <v>380376</v>
      </c>
      <c r="C3" s="125">
        <v>432530</v>
      </c>
      <c r="D3" s="125">
        <v>476403</v>
      </c>
      <c r="E3" s="125">
        <v>643202</v>
      </c>
    </row>
    <row r="4" spans="1:5">
      <c r="A4" s="36" t="s">
        <v>120</v>
      </c>
      <c r="B4" s="125">
        <v>33608</v>
      </c>
      <c r="C4" s="125">
        <v>37171</v>
      </c>
      <c r="D4" s="125">
        <v>43971</v>
      </c>
      <c r="E4" s="125">
        <v>56261</v>
      </c>
    </row>
    <row r="6" spans="1:5">
      <c r="A6" s="32" t="s">
        <v>70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9" workbookViewId="0">
      <selection activeCell="Q28" sqref="Q28"/>
    </sheetView>
  </sheetViews>
  <sheetFormatPr defaultRowHeight="1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60" zoomScaleNormal="60" workbookViewId="0">
      <selection activeCell="T25" sqref="T25"/>
    </sheetView>
  </sheetViews>
  <sheetFormatPr defaultRowHeight="1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Q20" sqref="Q20"/>
    </sheetView>
  </sheetViews>
  <sheetFormatPr defaultRowHeight="1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L22" sqref="L22"/>
    </sheetView>
  </sheetViews>
  <sheetFormatPr defaultRowHeight="12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R15" sqref="R15"/>
    </sheetView>
  </sheetViews>
  <sheetFormatPr defaultRowHeight="1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Agriculture Prod 1980-90</vt:lpstr>
      <vt:lpstr>Agriculture Prod 1991-01</vt:lpstr>
      <vt:lpstr>Agriculture Prod 2008 - 2020</vt:lpstr>
      <vt:lpstr>Santander prod. 2017 and 2020 </vt:lpstr>
      <vt:lpstr>traditional crops graph </vt:lpstr>
      <vt:lpstr>grains </vt:lpstr>
      <vt:lpstr>livestock graph </vt:lpstr>
      <vt:lpstr>marine exports products </vt:lpstr>
      <vt:lpstr>orange</vt:lpstr>
      <vt:lpstr>bananas </vt:lpstr>
      <vt:lpstr>sugar </vt:lpstr>
      <vt:lpstr>corn </vt:lpstr>
      <vt:lpstr>rice </vt:lpstr>
      <vt:lpstr>rk beans </vt:lpstr>
      <vt:lpstr>poultry </vt:lpstr>
      <vt:lpstr>cattle </vt:lpstr>
      <vt:lpstr>soybeans</vt:lpstr>
      <vt:lpstr>black eye peas</vt:lpstr>
      <vt:lpstr>sorghum </vt:lpstr>
      <vt:lpstr>papaya</vt:lpstr>
      <vt:lpstr>'Agriculture Prod 1980-90'!Print_Area</vt:lpstr>
      <vt:lpstr>'Agriculture Prod 1991-01'!Print_Area</vt:lpstr>
      <vt:lpstr>'Agriculture Prod 2008 - 2020'!Print_Area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Alfonso Bautista</cp:lastModifiedBy>
  <cp:lastPrinted>2015-07-30T17:24:21Z</cp:lastPrinted>
  <dcterms:created xsi:type="dcterms:W3CDTF">2001-09-06T19:45:29Z</dcterms:created>
  <dcterms:modified xsi:type="dcterms:W3CDTF">2021-11-01T14:53:10Z</dcterms:modified>
</cp:coreProperties>
</file>